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lchf.sharepoint.com/sites/FileShare/Shared Documents/1ILCHF Unmet &amp; Emerging Needs/2024/Bilingual Supervision/"/>
    </mc:Choice>
  </mc:AlternateContent>
  <xr:revisionPtr revIDLastSave="0" documentId="14_{8E90920E-FE51-454E-BE12-AD7DC2369805}" xr6:coauthVersionLast="47" xr6:coauthVersionMax="47" xr10:uidLastSave="{00000000-0000-0000-0000-000000000000}"/>
  <bookViews>
    <workbookView xWindow="-110" yWindow="-110" windowWidth="19420" windowHeight="11500" firstSheet="11" activeTab="11" xr2:uid="{00000000-000D-0000-FFFF-FFFF00000000}"/>
  </bookViews>
  <sheets>
    <sheet name="Agency &amp; Staffing Categories" sheetId="3" state="hidden" r:id="rId1"/>
    <sheet name="GRANT TOTAL REQUEST worksheet" sheetId="13" state="hidden" r:id="rId2"/>
    <sheet name="STAFFING WORKSHEET-YR01 16 MON" sheetId="2" state="hidden" r:id="rId3"/>
    <sheet name="STAFFING WORKSHEET-YR02" sheetId="14" state="hidden" r:id="rId4"/>
    <sheet name="STAFFING WORKSHEET-YR03" sheetId="15" state="hidden" r:id="rId5"/>
    <sheet name="STAFFING WORKSHEET-YR04" sheetId="16" state="hidden" r:id="rId6"/>
    <sheet name="STAFFING WORKSHEET-YR05" sheetId="17" state="hidden" r:id="rId7"/>
    <sheet name="ORG LEADERSHIP OTHER EXPENSES" sheetId="5" state="hidden" r:id="rId8"/>
    <sheet name="DIRECT SVCS OTHER EXPENSES" sheetId="6" state="hidden" r:id="rId9"/>
    <sheet name="EVALUATION OTHER EXPENSES" sheetId="7" state="hidden" r:id="rId10"/>
    <sheet name="Implementation Year 1 16 MO" sheetId="1" state="hidden" r:id="rId11"/>
    <sheet name="FRO Planning Grants" sheetId="19" r:id="rId12"/>
  </sheets>
  <definedNames>
    <definedName name="_xlnm.Print_Area" localSheetId="8">'DIRECT SVCS OTHER EXPENSES'!$A$1:$M$111</definedName>
    <definedName name="_xlnm.Print_Area" localSheetId="9">'EVALUATION OTHER EXPENSES'!$A$1:$M$38</definedName>
    <definedName name="_xlnm.Print_Area" localSheetId="1">'GRANT TOTAL REQUEST worksheet'!$A$1:$H$89</definedName>
    <definedName name="_xlnm.Print_Area" localSheetId="10">'Implementation Year 1 16 MO'!$A$1:$P$71</definedName>
    <definedName name="_xlnm.Print_Area" localSheetId="7">'ORG LEADERSHIP OTHER EXPENSES'!$A$1:$M$57</definedName>
    <definedName name="_xlnm.Print_Area" localSheetId="2">'STAFFING WORKSHEET-YR01 16 MON'!$A$1:$AF$78</definedName>
    <definedName name="_xlnm.Print_Area" localSheetId="3">'STAFFING WORKSHEET-YR02'!$A$1:$AF$78</definedName>
    <definedName name="_xlnm.Print_Area" localSheetId="4">'STAFFING WORKSHEET-YR03'!$A$1:$AF$78</definedName>
    <definedName name="_xlnm.Print_Area" localSheetId="5">'STAFFING WORKSHEET-YR04'!$A$1:$AF$78</definedName>
    <definedName name="_xlnm.Print_Area" localSheetId="6">'STAFFING WORKSHEET-YR05'!$A$1:$AF$78</definedName>
    <definedName name="_xlnm.Print_Titles" localSheetId="8">'DIRECT SVCS OTHER EXPENSES'!$1:$3</definedName>
    <definedName name="_xlnm.Print_Titles" localSheetId="9">'EVALUATION OTHER EXPENSES'!$1:$3</definedName>
    <definedName name="_xlnm.Print_Titles" localSheetId="1">'GRANT TOTAL REQUEST worksheet'!$1:$3</definedName>
    <definedName name="_xlnm.Print_Titles" localSheetId="10">'Implementation Year 1 16 MO'!$1:$5</definedName>
    <definedName name="_xlnm.Print_Titles" localSheetId="7">'ORG LEADERSHIP OTHER EXPENSES'!$1:$3</definedName>
    <definedName name="_xlnm.Print_Titles" localSheetId="2">'STAFFING WORKSHEET-YR01 16 MON'!$A:$H</definedName>
    <definedName name="_xlnm.Print_Titles" localSheetId="3">'STAFFING WORKSHEET-YR02'!$A:$H</definedName>
    <definedName name="_xlnm.Print_Titles" localSheetId="4">'STAFFING WORKSHEET-YR03'!$A:$H</definedName>
    <definedName name="_xlnm.Print_Titles" localSheetId="5">'STAFFING WORKSHEET-YR04'!$A:$H</definedName>
    <definedName name="_xlnm.Print_Titles" localSheetId="6">'STAFFING WORKSHEET-YR05'!$A:$H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9" l="1"/>
  <c r="P17" i="19"/>
  <c r="P29" i="19"/>
  <c r="P27" i="19"/>
  <c r="P36" i="19"/>
  <c r="P42" i="19"/>
  <c r="P10" i="19"/>
  <c r="H46" i="19"/>
  <c r="H37" i="19"/>
  <c r="H30" i="19"/>
  <c r="H19" i="19"/>
  <c r="P43" i="19"/>
  <c r="P44" i="19"/>
  <c r="P45" i="19"/>
  <c r="P41" i="19"/>
  <c r="P35" i="19"/>
  <c r="P34" i="19"/>
  <c r="P23" i="19"/>
  <c r="P24" i="19"/>
  <c r="P25" i="19"/>
  <c r="P26" i="19"/>
  <c r="P28" i="19"/>
  <c r="P22" i="19"/>
  <c r="P11" i="19"/>
  <c r="P12" i="19"/>
  <c r="P13" i="19"/>
  <c r="P14" i="19"/>
  <c r="P15" i="19"/>
  <c r="P16" i="19"/>
  <c r="P18" i="19"/>
  <c r="N37" i="19"/>
  <c r="L37" i="19"/>
  <c r="N30" i="19"/>
  <c r="L30" i="19"/>
  <c r="N19" i="19"/>
  <c r="L19" i="19"/>
  <c r="O37" i="19"/>
  <c r="O46" i="19"/>
  <c r="I47" i="19" l="1"/>
  <c r="H47" i="19"/>
  <c r="H50" i="19" s="1"/>
  <c r="P46" i="19"/>
  <c r="O47" i="19"/>
  <c r="P30" i="19"/>
  <c r="P19" i="19"/>
  <c r="P37" i="19"/>
  <c r="L47" i="19"/>
  <c r="L52" i="19" s="1"/>
  <c r="N47" i="19"/>
  <c r="I51" i="19" l="1"/>
  <c r="I52" i="19"/>
  <c r="I53" i="19"/>
  <c r="I50" i="19"/>
  <c r="I55" i="19" s="1"/>
  <c r="N52" i="19"/>
  <c r="N50" i="19"/>
  <c r="N53" i="19"/>
  <c r="N51" i="19"/>
  <c r="L51" i="19"/>
  <c r="L53" i="19"/>
  <c r="L50" i="19"/>
  <c r="L55" i="19" s="1"/>
  <c r="H52" i="19"/>
  <c r="H51" i="19"/>
  <c r="H53" i="19"/>
  <c r="H55" i="19"/>
  <c r="P47" i="19"/>
  <c r="N55" i="19" l="1"/>
  <c r="J19" i="19" l="1"/>
  <c r="J30" i="19"/>
  <c r="J37" i="19"/>
  <c r="J46" i="19"/>
  <c r="M84" i="6"/>
  <c r="M8" i="5"/>
  <c r="I8" i="5"/>
  <c r="E8" i="5"/>
  <c r="V66" i="17"/>
  <c r="S66" i="17"/>
  <c r="O66" i="17"/>
  <c r="K66" i="17"/>
  <c r="S65" i="17"/>
  <c r="O65" i="17"/>
  <c r="K65" i="17"/>
  <c r="V62" i="17"/>
  <c r="S62" i="17"/>
  <c r="O62" i="17"/>
  <c r="K62" i="17"/>
  <c r="S61" i="17"/>
  <c r="O61" i="17"/>
  <c r="K61" i="17"/>
  <c r="V58" i="17"/>
  <c r="S58" i="17"/>
  <c r="O58" i="17"/>
  <c r="K58" i="17"/>
  <c r="S57" i="17"/>
  <c r="O57" i="17"/>
  <c r="K57" i="17"/>
  <c r="S54" i="17"/>
  <c r="O54" i="17"/>
  <c r="K54" i="17"/>
  <c r="S53" i="17"/>
  <c r="O53" i="17"/>
  <c r="K53" i="17"/>
  <c r="V50" i="17"/>
  <c r="S50" i="17"/>
  <c r="O50" i="17"/>
  <c r="K50" i="17"/>
  <c r="S49" i="17"/>
  <c r="O49" i="17"/>
  <c r="K49" i="17"/>
  <c r="T44" i="17"/>
  <c r="R44" i="17"/>
  <c r="R65" i="17" s="1"/>
  <c r="R67" i="17" s="1"/>
  <c r="L44" i="17"/>
  <c r="J44" i="17"/>
  <c r="J78" i="17" s="1"/>
  <c r="J65" i="17"/>
  <c r="J67" i="17" s="1"/>
  <c r="T43" i="17"/>
  <c r="R43" i="17"/>
  <c r="L43" i="17"/>
  <c r="L62" i="17"/>
  <c r="J43" i="17"/>
  <c r="T42" i="17"/>
  <c r="R42" i="17"/>
  <c r="P42" i="17"/>
  <c r="N42" i="17"/>
  <c r="V66" i="16"/>
  <c r="S66" i="16"/>
  <c r="O66" i="16"/>
  <c r="K66" i="16"/>
  <c r="S65" i="16"/>
  <c r="O65" i="16"/>
  <c r="K65" i="16"/>
  <c r="V62" i="16"/>
  <c r="S62" i="16"/>
  <c r="O62" i="16"/>
  <c r="K62" i="16"/>
  <c r="L62" i="16" s="1"/>
  <c r="S61" i="16"/>
  <c r="O61" i="16"/>
  <c r="K61" i="16"/>
  <c r="V58" i="16"/>
  <c r="S58" i="16"/>
  <c r="O58" i="16"/>
  <c r="K58" i="16"/>
  <c r="S57" i="16"/>
  <c r="O57" i="16"/>
  <c r="K57" i="16"/>
  <c r="S54" i="16"/>
  <c r="O54" i="16"/>
  <c r="K54" i="16"/>
  <c r="S53" i="16"/>
  <c r="O53" i="16"/>
  <c r="K53" i="16"/>
  <c r="V50" i="16"/>
  <c r="S50" i="16"/>
  <c r="O50" i="16"/>
  <c r="K50" i="16"/>
  <c r="S49" i="16"/>
  <c r="O49" i="16"/>
  <c r="K49" i="16"/>
  <c r="T44" i="16"/>
  <c r="T66" i="16" s="1"/>
  <c r="R44" i="16"/>
  <c r="L44" i="16"/>
  <c r="J44" i="16"/>
  <c r="T43" i="16"/>
  <c r="R43" i="16"/>
  <c r="R61" i="16" s="1"/>
  <c r="R63" i="16" s="1"/>
  <c r="L43" i="16"/>
  <c r="J43" i="16"/>
  <c r="T42" i="16"/>
  <c r="R42" i="16"/>
  <c r="P42" i="16"/>
  <c r="N42" i="16"/>
  <c r="V66" i="15"/>
  <c r="S66" i="15"/>
  <c r="O66" i="15"/>
  <c r="K66" i="15"/>
  <c r="S65" i="15"/>
  <c r="O65" i="15"/>
  <c r="K65" i="15"/>
  <c r="L65" i="15" s="1"/>
  <c r="V62" i="15"/>
  <c r="S62" i="15"/>
  <c r="O62" i="15"/>
  <c r="K62" i="15"/>
  <c r="S61" i="15"/>
  <c r="T61" i="15" s="1"/>
  <c r="T63" i="15" s="1"/>
  <c r="T77" i="15" s="1"/>
  <c r="O61" i="15"/>
  <c r="K61" i="15"/>
  <c r="V58" i="15"/>
  <c r="S58" i="15"/>
  <c r="O58" i="15"/>
  <c r="K58" i="15"/>
  <c r="S57" i="15"/>
  <c r="O57" i="15"/>
  <c r="K57" i="15"/>
  <c r="S54" i="15"/>
  <c r="O54" i="15"/>
  <c r="K54" i="15"/>
  <c r="S53" i="15"/>
  <c r="O53" i="15"/>
  <c r="K53" i="15"/>
  <c r="V50" i="15"/>
  <c r="S50" i="15"/>
  <c r="O50" i="15"/>
  <c r="K50" i="15"/>
  <c r="S49" i="15"/>
  <c r="O49" i="15"/>
  <c r="K49" i="15"/>
  <c r="T44" i="15"/>
  <c r="T66" i="15" s="1"/>
  <c r="T67" i="15" s="1"/>
  <c r="T78" i="15" s="1"/>
  <c r="R44" i="15"/>
  <c r="L44" i="15"/>
  <c r="L66" i="15"/>
  <c r="L67" i="15"/>
  <c r="L78" i="15" s="1"/>
  <c r="J44" i="15"/>
  <c r="T43" i="15"/>
  <c r="R43" i="15"/>
  <c r="L43" i="15"/>
  <c r="L62" i="15" s="1"/>
  <c r="J43" i="15"/>
  <c r="J61" i="15" s="1"/>
  <c r="J63" i="15" s="1"/>
  <c r="J77" i="15" s="1"/>
  <c r="T42" i="15"/>
  <c r="R42" i="15"/>
  <c r="P42" i="15"/>
  <c r="N42" i="15"/>
  <c r="V66" i="14"/>
  <c r="S66" i="14"/>
  <c r="O66" i="14"/>
  <c r="K66" i="14"/>
  <c r="S65" i="14"/>
  <c r="O65" i="14"/>
  <c r="K65" i="14"/>
  <c r="L65" i="14" s="1"/>
  <c r="V62" i="14"/>
  <c r="S62" i="14"/>
  <c r="O62" i="14"/>
  <c r="K62" i="14"/>
  <c r="S61" i="14"/>
  <c r="O61" i="14"/>
  <c r="K61" i="14"/>
  <c r="V58" i="14"/>
  <c r="S58" i="14"/>
  <c r="O58" i="14"/>
  <c r="K58" i="14"/>
  <c r="S57" i="14"/>
  <c r="O57" i="14"/>
  <c r="K57" i="14"/>
  <c r="S54" i="14"/>
  <c r="O54" i="14"/>
  <c r="K54" i="14"/>
  <c r="S53" i="14"/>
  <c r="O53" i="14"/>
  <c r="K53" i="14"/>
  <c r="V50" i="14"/>
  <c r="S50" i="14"/>
  <c r="O50" i="14"/>
  <c r="K50" i="14"/>
  <c r="S49" i="14"/>
  <c r="O49" i="14"/>
  <c r="K49" i="14"/>
  <c r="T44" i="14"/>
  <c r="R44" i="14"/>
  <c r="T65" i="14" s="1"/>
  <c r="T67" i="14" s="1"/>
  <c r="T78" i="14" s="1"/>
  <c r="L44" i="14"/>
  <c r="J44" i="14"/>
  <c r="T43" i="14"/>
  <c r="R43" i="14"/>
  <c r="T61" i="14" s="1"/>
  <c r="T63" i="14" s="1"/>
  <c r="L43" i="14"/>
  <c r="J43" i="14"/>
  <c r="L61" i="14" s="1"/>
  <c r="L63" i="14" s="1"/>
  <c r="T42" i="14"/>
  <c r="R42" i="14"/>
  <c r="P42" i="14"/>
  <c r="N42" i="14"/>
  <c r="T41" i="2"/>
  <c r="R41" i="2"/>
  <c r="P41" i="2"/>
  <c r="N41" i="2"/>
  <c r="G11" i="2"/>
  <c r="H31" i="17"/>
  <c r="T31" i="17"/>
  <c r="M15" i="5"/>
  <c r="I15" i="5"/>
  <c r="M28" i="5"/>
  <c r="I28" i="5"/>
  <c r="E28" i="5"/>
  <c r="I21" i="5"/>
  <c r="M21" i="5" s="1"/>
  <c r="I22" i="5"/>
  <c r="M22" i="5"/>
  <c r="I20" i="5"/>
  <c r="M20" i="5" s="1"/>
  <c r="E67" i="13" s="1"/>
  <c r="E21" i="5"/>
  <c r="C73" i="13" s="1"/>
  <c r="E20" i="5"/>
  <c r="E107" i="6"/>
  <c r="M20" i="6"/>
  <c r="I20" i="6"/>
  <c r="I19" i="6" s="1"/>
  <c r="I18" i="6" s="1"/>
  <c r="D17" i="13" s="1"/>
  <c r="E20" i="6"/>
  <c r="E14" i="6"/>
  <c r="J61" i="17"/>
  <c r="R61" i="17"/>
  <c r="R63" i="17" s="1"/>
  <c r="R77" i="17" s="1"/>
  <c r="T61" i="17"/>
  <c r="T63" i="17" s="1"/>
  <c r="T77" i="17" s="1"/>
  <c r="L66" i="17"/>
  <c r="T66" i="17"/>
  <c r="J61" i="16"/>
  <c r="L61" i="16"/>
  <c r="J65" i="16"/>
  <c r="L65" i="16"/>
  <c r="R65" i="16"/>
  <c r="R67" i="16" s="1"/>
  <c r="R78" i="16" s="1"/>
  <c r="T65" i="16"/>
  <c r="L66" i="16"/>
  <c r="R61" i="15"/>
  <c r="R63" i="15" s="1"/>
  <c r="R77" i="15" s="1"/>
  <c r="J65" i="15"/>
  <c r="R65" i="15"/>
  <c r="R67" i="15"/>
  <c r="R78" i="15" s="1"/>
  <c r="T65" i="15"/>
  <c r="L62" i="14"/>
  <c r="T66" i="14"/>
  <c r="R61" i="14"/>
  <c r="R63" i="14" s="1"/>
  <c r="R77" i="14" s="1"/>
  <c r="J65" i="14"/>
  <c r="D12" i="17"/>
  <c r="D12" i="16"/>
  <c r="D12" i="15"/>
  <c r="D12" i="14"/>
  <c r="C104" i="6"/>
  <c r="H69" i="13"/>
  <c r="D73" i="13"/>
  <c r="D67" i="13"/>
  <c r="C67" i="13"/>
  <c r="H30" i="17"/>
  <c r="T30" i="17"/>
  <c r="X30" i="17" s="1"/>
  <c r="Z30" i="17" s="1"/>
  <c r="H31" i="16"/>
  <c r="H30" i="16"/>
  <c r="T30" i="16" s="1"/>
  <c r="H31" i="15"/>
  <c r="T31" i="15"/>
  <c r="X31" i="15"/>
  <c r="Z31" i="15" s="1"/>
  <c r="AA31" i="15" s="1"/>
  <c r="H30" i="15"/>
  <c r="H31" i="14"/>
  <c r="R31" i="14" s="1"/>
  <c r="V31" i="14" s="1"/>
  <c r="H30" i="14"/>
  <c r="R30" i="14" s="1"/>
  <c r="S33" i="17"/>
  <c r="O33" i="17"/>
  <c r="W33" i="17" s="1"/>
  <c r="M33" i="17"/>
  <c r="K33" i="17"/>
  <c r="I33" i="17"/>
  <c r="E33" i="17"/>
  <c r="W31" i="17"/>
  <c r="Q31" i="17"/>
  <c r="Q33" i="17"/>
  <c r="U33" i="17" s="1"/>
  <c r="W30" i="17"/>
  <c r="Q30" i="17"/>
  <c r="W29" i="17"/>
  <c r="U29" i="17"/>
  <c r="Y29" i="17" s="1"/>
  <c r="W28" i="17"/>
  <c r="Y28" i="17" s="1"/>
  <c r="U28" i="17"/>
  <c r="W26" i="17"/>
  <c r="Y26" i="17" s="1"/>
  <c r="U26" i="17"/>
  <c r="W25" i="17"/>
  <c r="U25" i="17"/>
  <c r="Y25" i="17" s="1"/>
  <c r="W24" i="17"/>
  <c r="U24" i="17"/>
  <c r="W23" i="17"/>
  <c r="U23" i="17"/>
  <c r="Y23" i="17" s="1"/>
  <c r="W22" i="17"/>
  <c r="U22" i="17"/>
  <c r="W21" i="17"/>
  <c r="Y21" i="17" s="1"/>
  <c r="U21" i="17"/>
  <c r="W20" i="17"/>
  <c r="U20" i="17"/>
  <c r="Y20" i="17" s="1"/>
  <c r="W19" i="17"/>
  <c r="U19" i="17"/>
  <c r="W17" i="17"/>
  <c r="U17" i="17"/>
  <c r="W16" i="17"/>
  <c r="U16" i="17"/>
  <c r="Y16" i="17" s="1"/>
  <c r="W15" i="17"/>
  <c r="U15" i="17"/>
  <c r="Y15" i="17" s="1"/>
  <c r="W14" i="17"/>
  <c r="Y14" i="17" s="1"/>
  <c r="U14" i="17"/>
  <c r="W13" i="17"/>
  <c r="U13" i="17"/>
  <c r="W12" i="17"/>
  <c r="U12" i="17"/>
  <c r="Y12" i="17" s="1"/>
  <c r="W11" i="17"/>
  <c r="U11" i="17"/>
  <c r="W10" i="17"/>
  <c r="U10" i="17"/>
  <c r="Y10" i="17" s="1"/>
  <c r="W9" i="17"/>
  <c r="U9" i="17"/>
  <c r="W8" i="17"/>
  <c r="U8" i="17"/>
  <c r="Y8" i="17" s="1"/>
  <c r="W7" i="17"/>
  <c r="U7" i="17"/>
  <c r="Y7" i="17" s="1"/>
  <c r="W6" i="17"/>
  <c r="Y6" i="17"/>
  <c r="U6" i="17"/>
  <c r="S33" i="16"/>
  <c r="O33" i="16"/>
  <c r="M33" i="16"/>
  <c r="K33" i="16"/>
  <c r="I33" i="16"/>
  <c r="E33" i="16"/>
  <c r="W31" i="16"/>
  <c r="T31" i="16"/>
  <c r="X31" i="16" s="1"/>
  <c r="Q31" i="16"/>
  <c r="U31" i="16" s="1"/>
  <c r="Y31" i="16" s="1"/>
  <c r="W30" i="16"/>
  <c r="Q30" i="16"/>
  <c r="U30" i="16" s="1"/>
  <c r="Y30" i="16" s="1"/>
  <c r="W29" i="16"/>
  <c r="U29" i="16"/>
  <c r="Y29" i="16" s="1"/>
  <c r="W28" i="16"/>
  <c r="Y28" i="16"/>
  <c r="U28" i="16"/>
  <c r="W26" i="16"/>
  <c r="U26" i="16"/>
  <c r="W25" i="16"/>
  <c r="U25" i="16"/>
  <c r="Y25" i="16" s="1"/>
  <c r="W24" i="16"/>
  <c r="U24" i="16"/>
  <c r="Y24" i="16" s="1"/>
  <c r="W23" i="16"/>
  <c r="Y23" i="16" s="1"/>
  <c r="U23" i="16"/>
  <c r="W22" i="16"/>
  <c r="U22" i="16"/>
  <c r="Y22" i="16" s="1"/>
  <c r="W21" i="16"/>
  <c r="Y21" i="16"/>
  <c r="U21" i="16"/>
  <c r="W20" i="16"/>
  <c r="U20" i="16"/>
  <c r="W19" i="16"/>
  <c r="Y19" i="16"/>
  <c r="U19" i="16"/>
  <c r="W17" i="16"/>
  <c r="U17" i="16"/>
  <c r="Y17" i="16" s="1"/>
  <c r="W16" i="16"/>
  <c r="Y16" i="16" s="1"/>
  <c r="U16" i="16"/>
  <c r="W15" i="16"/>
  <c r="U15" i="16"/>
  <c r="Y15" i="16" s="1"/>
  <c r="W14" i="16"/>
  <c r="U14" i="16"/>
  <c r="Y14" i="16" s="1"/>
  <c r="W13" i="16"/>
  <c r="U13" i="16"/>
  <c r="W12" i="16"/>
  <c r="U12" i="16"/>
  <c r="W11" i="16"/>
  <c r="U11" i="16"/>
  <c r="Y11" i="16" s="1"/>
  <c r="W10" i="16"/>
  <c r="Y10" i="16" s="1"/>
  <c r="U10" i="16"/>
  <c r="W9" i="16"/>
  <c r="U9" i="16"/>
  <c r="W8" i="16"/>
  <c r="Y8" i="16"/>
  <c r="U8" i="16"/>
  <c r="W7" i="16"/>
  <c r="U7" i="16"/>
  <c r="W6" i="16"/>
  <c r="U6" i="16"/>
  <c r="Y6" i="16" s="1"/>
  <c r="W31" i="15"/>
  <c r="Q31" i="15"/>
  <c r="U31" i="15" s="1"/>
  <c r="Y31" i="15" s="1"/>
  <c r="W30" i="15"/>
  <c r="Q30" i="15"/>
  <c r="U30" i="15" s="1"/>
  <c r="Y30" i="15" s="1"/>
  <c r="W30" i="14"/>
  <c r="W31" i="14"/>
  <c r="Q31" i="14"/>
  <c r="Q30" i="14"/>
  <c r="Q33" i="14" s="1"/>
  <c r="U33" i="14" s="1"/>
  <c r="H39" i="15"/>
  <c r="Y19" i="17"/>
  <c r="Y20" i="16"/>
  <c r="U30" i="14"/>
  <c r="Y30" i="14" s="1"/>
  <c r="U31" i="17"/>
  <c r="Y9" i="17"/>
  <c r="Y13" i="17"/>
  <c r="Y22" i="17"/>
  <c r="Y24" i="17"/>
  <c r="U30" i="17"/>
  <c r="Y30" i="17" s="1"/>
  <c r="J63" i="17"/>
  <c r="L67" i="16"/>
  <c r="J67" i="16"/>
  <c r="J63" i="16"/>
  <c r="J77" i="16" s="1"/>
  <c r="J67" i="15"/>
  <c r="J67" i="14"/>
  <c r="X16" i="17"/>
  <c r="V16" i="17"/>
  <c r="X15" i="17"/>
  <c r="R30" i="17"/>
  <c r="H39" i="17"/>
  <c r="V15" i="17"/>
  <c r="Z15" i="17" s="1"/>
  <c r="AA15" i="17" s="1"/>
  <c r="R31" i="17"/>
  <c r="V31" i="17"/>
  <c r="Y26" i="16"/>
  <c r="Y13" i="16"/>
  <c r="Y12" i="16"/>
  <c r="Y9" i="16"/>
  <c r="Y7" i="16"/>
  <c r="V15" i="16"/>
  <c r="Z15" i="16" s="1"/>
  <c r="X15" i="16"/>
  <c r="X16" i="16"/>
  <c r="V16" i="16"/>
  <c r="R30" i="16"/>
  <c r="V30" i="16" s="1"/>
  <c r="R31" i="16"/>
  <c r="V31" i="16"/>
  <c r="T30" i="15"/>
  <c r="R31" i="15"/>
  <c r="V31" i="15"/>
  <c r="R30" i="15"/>
  <c r="T30" i="14"/>
  <c r="X30" i="14" s="1"/>
  <c r="T31" i="14"/>
  <c r="X31" i="14" s="1"/>
  <c r="W29" i="2"/>
  <c r="W30" i="2"/>
  <c r="Q30" i="2"/>
  <c r="Q29" i="2"/>
  <c r="H30" i="2"/>
  <c r="H29" i="2"/>
  <c r="T29" i="2"/>
  <c r="X29" i="2" s="1"/>
  <c r="E41" i="6"/>
  <c r="I41" i="6"/>
  <c r="I40" i="6" s="1"/>
  <c r="M41" i="6"/>
  <c r="Q41" i="6"/>
  <c r="Q40" i="6" s="1"/>
  <c r="U41" i="6"/>
  <c r="U40" i="6" s="1"/>
  <c r="E42" i="6"/>
  <c r="I42" i="6"/>
  <c r="M42" i="6"/>
  <c r="Q42" i="6"/>
  <c r="U42" i="6"/>
  <c r="E51" i="6"/>
  <c r="E50" i="6" s="1"/>
  <c r="I51" i="6"/>
  <c r="M51" i="6"/>
  <c r="M50" i="6"/>
  <c r="Q51" i="6"/>
  <c r="Q50" i="6"/>
  <c r="U51" i="6"/>
  <c r="U50" i="6"/>
  <c r="E36" i="6"/>
  <c r="I36" i="6"/>
  <c r="I35" i="6" s="1"/>
  <c r="M36" i="6"/>
  <c r="Q36" i="6"/>
  <c r="U36" i="6"/>
  <c r="U35" i="6" s="1"/>
  <c r="E37" i="6"/>
  <c r="I37" i="6"/>
  <c r="M37" i="6"/>
  <c r="M35" i="6" s="1"/>
  <c r="Q37" i="6"/>
  <c r="U37" i="6"/>
  <c r="U90" i="6"/>
  <c r="Q90" i="6"/>
  <c r="M90" i="6"/>
  <c r="M88" i="6"/>
  <c r="I90" i="6"/>
  <c r="E90" i="6"/>
  <c r="U89" i="6"/>
  <c r="U88" i="6" s="1"/>
  <c r="Q89" i="6"/>
  <c r="M89" i="6"/>
  <c r="I89" i="6"/>
  <c r="E89" i="6"/>
  <c r="Q40" i="5"/>
  <c r="U40" i="5"/>
  <c r="E41" i="5"/>
  <c r="E40" i="5" s="1"/>
  <c r="I41" i="5"/>
  <c r="I40" i="5" s="1"/>
  <c r="M41" i="5"/>
  <c r="E42" i="5"/>
  <c r="I42" i="5"/>
  <c r="M42" i="5"/>
  <c r="E43" i="5"/>
  <c r="I43" i="5"/>
  <c r="M43" i="5"/>
  <c r="E44" i="5"/>
  <c r="I44" i="5"/>
  <c r="M44" i="5"/>
  <c r="E45" i="5"/>
  <c r="I45" i="5"/>
  <c r="M45" i="5"/>
  <c r="M40" i="5"/>
  <c r="M14" i="5"/>
  <c r="M13" i="5"/>
  <c r="I14" i="5"/>
  <c r="I13" i="5" s="1"/>
  <c r="G16" i="2"/>
  <c r="G17" i="14"/>
  <c r="G17" i="15" s="1"/>
  <c r="G29" i="14"/>
  <c r="H29" i="14" s="1"/>
  <c r="G28" i="14"/>
  <c r="G28" i="15" s="1"/>
  <c r="G23" i="14"/>
  <c r="G23" i="15" s="1"/>
  <c r="G24" i="14"/>
  <c r="G24" i="15"/>
  <c r="G25" i="14"/>
  <c r="G25" i="15"/>
  <c r="G25" i="16"/>
  <c r="H25" i="16" s="1"/>
  <c r="G26" i="14"/>
  <c r="G26" i="15"/>
  <c r="G22" i="14"/>
  <c r="G22" i="15"/>
  <c r="G22" i="16" s="1"/>
  <c r="G20" i="14"/>
  <c r="H20" i="14" s="1"/>
  <c r="G20" i="15"/>
  <c r="G21" i="14"/>
  <c r="G21" i="15" s="1"/>
  <c r="G19" i="14"/>
  <c r="G19" i="15" s="1"/>
  <c r="G15" i="14"/>
  <c r="G15" i="15"/>
  <c r="G14" i="14"/>
  <c r="G14" i="15"/>
  <c r="G14" i="16" s="1"/>
  <c r="G14" i="17" s="1"/>
  <c r="G13" i="14"/>
  <c r="G13" i="15" s="1"/>
  <c r="G13" i="16" s="1"/>
  <c r="G12" i="14"/>
  <c r="G12" i="15"/>
  <c r="H12" i="15" s="1"/>
  <c r="G11" i="14"/>
  <c r="G11" i="15" s="1"/>
  <c r="H11" i="15" s="1"/>
  <c r="G10" i="14"/>
  <c r="G10" i="15" s="1"/>
  <c r="G9" i="14"/>
  <c r="G9" i="15" s="1"/>
  <c r="G9" i="16" s="1"/>
  <c r="G9" i="17" s="1"/>
  <c r="H9" i="17" s="1"/>
  <c r="G8" i="14"/>
  <c r="G8" i="15" s="1"/>
  <c r="G7" i="14"/>
  <c r="H7" i="14" s="1"/>
  <c r="J7" i="14" s="1"/>
  <c r="V7" i="14" s="1"/>
  <c r="G7" i="15"/>
  <c r="H7" i="15" s="1"/>
  <c r="G6" i="14"/>
  <c r="G6" i="15"/>
  <c r="S33" i="15"/>
  <c r="Q33" i="15"/>
  <c r="U33" i="15" s="1"/>
  <c r="Y33" i="15"/>
  <c r="Y34" i="15" s="1"/>
  <c r="O33" i="15"/>
  <c r="M33" i="15"/>
  <c r="K33" i="15"/>
  <c r="I33" i="15"/>
  <c r="E33" i="15"/>
  <c r="W29" i="15"/>
  <c r="Y29" i="15" s="1"/>
  <c r="U29" i="15"/>
  <c r="W28" i="15"/>
  <c r="Y28" i="15" s="1"/>
  <c r="U28" i="15"/>
  <c r="W26" i="15"/>
  <c r="U26" i="15"/>
  <c r="Y26" i="15"/>
  <c r="W25" i="15"/>
  <c r="U25" i="15"/>
  <c r="Y25" i="15" s="1"/>
  <c r="W24" i="15"/>
  <c r="U24" i="15"/>
  <c r="Y24" i="15" s="1"/>
  <c r="W23" i="15"/>
  <c r="U23" i="15"/>
  <c r="W22" i="15"/>
  <c r="U22" i="15"/>
  <c r="Y22" i="15" s="1"/>
  <c r="W21" i="15"/>
  <c r="Y21" i="15" s="1"/>
  <c r="U21" i="15"/>
  <c r="W20" i="15"/>
  <c r="U20" i="15"/>
  <c r="Y20" i="15"/>
  <c r="W19" i="15"/>
  <c r="U19" i="15"/>
  <c r="Y19" i="15" s="1"/>
  <c r="W17" i="15"/>
  <c r="U17" i="15"/>
  <c r="Y17" i="15" s="1"/>
  <c r="W16" i="15"/>
  <c r="U16" i="15"/>
  <c r="W15" i="15"/>
  <c r="Y15" i="15"/>
  <c r="U15" i="15"/>
  <c r="W14" i="15"/>
  <c r="U14" i="15"/>
  <c r="W13" i="15"/>
  <c r="U13" i="15"/>
  <c r="Y13" i="15"/>
  <c r="W12" i="15"/>
  <c r="U12" i="15"/>
  <c r="Y12" i="15" s="1"/>
  <c r="W11" i="15"/>
  <c r="U11" i="15"/>
  <c r="Y11" i="15" s="1"/>
  <c r="W10" i="15"/>
  <c r="U10" i="15"/>
  <c r="W9" i="15"/>
  <c r="U9" i="15"/>
  <c r="Y9" i="15" s="1"/>
  <c r="W8" i="15"/>
  <c r="U8" i="15"/>
  <c r="W7" i="15"/>
  <c r="U7" i="15"/>
  <c r="W6" i="15"/>
  <c r="U6" i="15"/>
  <c r="Y6" i="15" s="1"/>
  <c r="S33" i="14"/>
  <c r="O33" i="14"/>
  <c r="M33" i="14"/>
  <c r="K33" i="14"/>
  <c r="I33" i="14"/>
  <c r="E33" i="14"/>
  <c r="W29" i="14"/>
  <c r="U29" i="14"/>
  <c r="Y29" i="14" s="1"/>
  <c r="W28" i="14"/>
  <c r="U28" i="14"/>
  <c r="Y28" i="14" s="1"/>
  <c r="W26" i="14"/>
  <c r="U26" i="14"/>
  <c r="Y26" i="14"/>
  <c r="W25" i="14"/>
  <c r="U25" i="14"/>
  <c r="Y25" i="14" s="1"/>
  <c r="H25" i="14"/>
  <c r="W24" i="14"/>
  <c r="U24" i="14"/>
  <c r="W23" i="14"/>
  <c r="U23" i="14"/>
  <c r="W22" i="14"/>
  <c r="U22" i="14"/>
  <c r="W21" i="14"/>
  <c r="Y21" i="14" s="1"/>
  <c r="U21" i="14"/>
  <c r="W20" i="14"/>
  <c r="U20" i="14"/>
  <c r="Y20" i="14" s="1"/>
  <c r="W19" i="14"/>
  <c r="U19" i="14"/>
  <c r="W17" i="14"/>
  <c r="U17" i="14"/>
  <c r="Y17" i="14" s="1"/>
  <c r="W16" i="14"/>
  <c r="U16" i="14"/>
  <c r="Y16" i="14" s="1"/>
  <c r="W15" i="14"/>
  <c r="Y15" i="14" s="1"/>
  <c r="U15" i="14"/>
  <c r="W14" i="14"/>
  <c r="U14" i="14"/>
  <c r="H14" i="14"/>
  <c r="AA14" i="14" s="1"/>
  <c r="W13" i="14"/>
  <c r="U13" i="14"/>
  <c r="Y13" i="14" s="1"/>
  <c r="W12" i="14"/>
  <c r="Y12" i="14" s="1"/>
  <c r="U12" i="14"/>
  <c r="W11" i="14"/>
  <c r="U11" i="14"/>
  <c r="Y11" i="14" s="1"/>
  <c r="W10" i="14"/>
  <c r="U10" i="14"/>
  <c r="Y10" i="14" s="1"/>
  <c r="H10" i="14"/>
  <c r="L10" i="14" s="1"/>
  <c r="W9" i="14"/>
  <c r="U9" i="14"/>
  <c r="W8" i="14"/>
  <c r="U8" i="14"/>
  <c r="W7" i="14"/>
  <c r="U7" i="14"/>
  <c r="W6" i="14"/>
  <c r="U6" i="14"/>
  <c r="Y6" i="14" s="1"/>
  <c r="H6" i="14"/>
  <c r="G27" i="13"/>
  <c r="F27" i="13"/>
  <c r="B42" i="13"/>
  <c r="B41" i="13"/>
  <c r="B40" i="13"/>
  <c r="U26" i="7"/>
  <c r="U25" i="7" s="1"/>
  <c r="G29" i="13" s="1"/>
  <c r="Q26" i="7"/>
  <c r="Q25" i="7" s="1"/>
  <c r="F29" i="13" s="1"/>
  <c r="M26" i="7"/>
  <c r="M25" i="7" s="1"/>
  <c r="E29" i="13" s="1"/>
  <c r="I26" i="7"/>
  <c r="I25" i="7" s="1"/>
  <c r="D29" i="13" s="1"/>
  <c r="E26" i="7"/>
  <c r="E25" i="7" s="1"/>
  <c r="U5" i="6"/>
  <c r="Q5" i="6"/>
  <c r="M5" i="6"/>
  <c r="E15" i="13" s="1"/>
  <c r="I5" i="6"/>
  <c r="E109" i="6"/>
  <c r="E108" i="6"/>
  <c r="U106" i="6"/>
  <c r="Q106" i="6"/>
  <c r="M106" i="6"/>
  <c r="I106" i="6"/>
  <c r="E106" i="6"/>
  <c r="U105" i="6"/>
  <c r="Q105" i="6"/>
  <c r="M105" i="6"/>
  <c r="M103" i="6" s="1"/>
  <c r="E22" i="13" s="1"/>
  <c r="I105" i="6"/>
  <c r="E105" i="6"/>
  <c r="U104" i="6"/>
  <c r="U103" i="6" s="1"/>
  <c r="G22" i="13" s="1"/>
  <c r="Q104" i="6"/>
  <c r="Q103" i="6" s="1"/>
  <c r="F22" i="13" s="1"/>
  <c r="M104" i="6"/>
  <c r="I104" i="6"/>
  <c r="E104" i="6"/>
  <c r="E103" i="6" s="1"/>
  <c r="J41" i="1" s="1"/>
  <c r="P41" i="1" s="1"/>
  <c r="U8" i="5"/>
  <c r="U5" i="5" s="1"/>
  <c r="G7" i="13" s="1"/>
  <c r="U7" i="5"/>
  <c r="U6" i="5"/>
  <c r="Q8" i="5"/>
  <c r="Q7" i="5"/>
  <c r="Q6" i="5"/>
  <c r="M7" i="5"/>
  <c r="M6" i="5"/>
  <c r="I7" i="5"/>
  <c r="I5" i="5" s="1"/>
  <c r="I6" i="5"/>
  <c r="U34" i="7"/>
  <c r="U33" i="7"/>
  <c r="Q34" i="7"/>
  <c r="Q33" i="7" s="1"/>
  <c r="I34" i="7"/>
  <c r="I33" i="7" s="1"/>
  <c r="D31" i="13" s="1"/>
  <c r="E34" i="7"/>
  <c r="E33" i="7" s="1"/>
  <c r="K14" i="7"/>
  <c r="G14" i="7"/>
  <c r="C14" i="7"/>
  <c r="E14" i="7" s="1"/>
  <c r="U29" i="7"/>
  <c r="G30" i="13"/>
  <c r="Q29" i="7"/>
  <c r="F30" i="13" s="1"/>
  <c r="M29" i="7"/>
  <c r="E30" i="13" s="1"/>
  <c r="I29" i="7"/>
  <c r="E29" i="7"/>
  <c r="C30" i="13"/>
  <c r="U19" i="7"/>
  <c r="Q19" i="7"/>
  <c r="F28" i="13" s="1"/>
  <c r="M19" i="7"/>
  <c r="E28" i="13" s="1"/>
  <c r="I19" i="7"/>
  <c r="D28" i="13"/>
  <c r="E19" i="7"/>
  <c r="U7" i="7"/>
  <c r="Q7" i="7"/>
  <c r="U12" i="7"/>
  <c r="Q12" i="7"/>
  <c r="U70" i="6"/>
  <c r="Q70" i="6"/>
  <c r="M70" i="6"/>
  <c r="E19" i="13" s="1"/>
  <c r="I70" i="6"/>
  <c r="D19" i="13" s="1"/>
  <c r="E70" i="6"/>
  <c r="J38" i="1" s="1"/>
  <c r="U100" i="6"/>
  <c r="U99" i="6" s="1"/>
  <c r="Q100" i="6"/>
  <c r="Q99" i="6" s="1"/>
  <c r="M100" i="6"/>
  <c r="M99" i="6" s="1"/>
  <c r="I100" i="6"/>
  <c r="I99" i="6" s="1"/>
  <c r="U96" i="6"/>
  <c r="Q96" i="6"/>
  <c r="U94" i="6"/>
  <c r="U92" i="6"/>
  <c r="U93" i="6"/>
  <c r="Q94" i="6"/>
  <c r="Q92" i="6" s="1"/>
  <c r="F81" i="13" s="1"/>
  <c r="Q93" i="6"/>
  <c r="M94" i="6"/>
  <c r="M93" i="6"/>
  <c r="I94" i="6"/>
  <c r="I93" i="6"/>
  <c r="E94" i="6"/>
  <c r="E93" i="6"/>
  <c r="E92" i="6" s="1"/>
  <c r="C81" i="13" s="1"/>
  <c r="H81" i="13" s="1"/>
  <c r="U83" i="6"/>
  <c r="Q83" i="6"/>
  <c r="Q82" i="6" s="1"/>
  <c r="F21" i="13" s="1"/>
  <c r="U76" i="6"/>
  <c r="Q76" i="6"/>
  <c r="M76" i="6"/>
  <c r="I76" i="6"/>
  <c r="D20" i="13" s="1"/>
  <c r="E76" i="6"/>
  <c r="U65" i="6"/>
  <c r="U64" i="6"/>
  <c r="U63" i="6"/>
  <c r="U59" i="6"/>
  <c r="U58" i="6"/>
  <c r="Q65" i="6"/>
  <c r="Q64" i="6"/>
  <c r="Q63" i="6"/>
  <c r="Q62" i="6"/>
  <c r="Q59" i="6"/>
  <c r="Q58" i="6"/>
  <c r="M65" i="6"/>
  <c r="M64" i="6"/>
  <c r="M62" i="6"/>
  <c r="M63" i="6"/>
  <c r="M59" i="6"/>
  <c r="M57" i="6" s="1"/>
  <c r="M58" i="6"/>
  <c r="I65" i="6"/>
  <c r="I62" i="6" s="1"/>
  <c r="I64" i="6"/>
  <c r="I63" i="6"/>
  <c r="I59" i="6"/>
  <c r="I58" i="6"/>
  <c r="I57" i="6" s="1"/>
  <c r="I50" i="6"/>
  <c r="E65" i="6"/>
  <c r="U33" i="6"/>
  <c r="U32" i="6"/>
  <c r="U31" i="6" s="1"/>
  <c r="Q33" i="6"/>
  <c r="Q32" i="6"/>
  <c r="Q31" i="6" s="1"/>
  <c r="M33" i="6"/>
  <c r="M32" i="6"/>
  <c r="M31" i="6" s="1"/>
  <c r="I33" i="6"/>
  <c r="I32" i="6"/>
  <c r="I31" i="6" s="1"/>
  <c r="U46" i="6"/>
  <c r="U45" i="6"/>
  <c r="U44" i="6" s="1"/>
  <c r="Q46" i="6"/>
  <c r="Q45" i="6"/>
  <c r="Q44" i="6" s="1"/>
  <c r="M46" i="6"/>
  <c r="M45" i="6"/>
  <c r="M44" i="6"/>
  <c r="I46" i="6"/>
  <c r="I45" i="6"/>
  <c r="I44" i="6" s="1"/>
  <c r="E46" i="6"/>
  <c r="E45" i="6"/>
  <c r="E44" i="6" s="1"/>
  <c r="U10" i="6"/>
  <c r="Q10" i="6"/>
  <c r="F16" i="13" s="1"/>
  <c r="M10" i="6"/>
  <c r="I10" i="6"/>
  <c r="D16" i="13"/>
  <c r="U20" i="6"/>
  <c r="U19" i="6" s="1"/>
  <c r="U18" i="6"/>
  <c r="G17" i="13" s="1"/>
  <c r="Q20" i="6"/>
  <c r="Q19" i="6"/>
  <c r="Q18" i="6"/>
  <c r="F17" i="13"/>
  <c r="M19" i="6"/>
  <c r="M18" i="6"/>
  <c r="E17" i="13" s="1"/>
  <c r="U54" i="5"/>
  <c r="Q54" i="5"/>
  <c r="F10" i="13" s="1"/>
  <c r="M37" i="5"/>
  <c r="M36" i="5"/>
  <c r="K35" i="5"/>
  <c r="M35" i="5" s="1"/>
  <c r="M34" i="5"/>
  <c r="M33" i="5"/>
  <c r="I37" i="5"/>
  <c r="I36" i="5"/>
  <c r="G35" i="5"/>
  <c r="I35" i="5" s="1"/>
  <c r="I34" i="5"/>
  <c r="I33" i="5"/>
  <c r="E36" i="5"/>
  <c r="U32" i="5"/>
  <c r="Q32" i="5"/>
  <c r="M27" i="5"/>
  <c r="M25" i="5"/>
  <c r="M26" i="5"/>
  <c r="I27" i="5"/>
  <c r="I26" i="5"/>
  <c r="U25" i="5"/>
  <c r="Q25" i="5"/>
  <c r="U13" i="5"/>
  <c r="Q13" i="5"/>
  <c r="U48" i="5"/>
  <c r="G9" i="13" s="1"/>
  <c r="Q48" i="5"/>
  <c r="F9" i="13" s="1"/>
  <c r="M48" i="5"/>
  <c r="I48" i="5"/>
  <c r="E48" i="5"/>
  <c r="Q57" i="6"/>
  <c r="Y7" i="14"/>
  <c r="Y9" i="14"/>
  <c r="Y14" i="14"/>
  <c r="G57" i="13"/>
  <c r="I88" i="6"/>
  <c r="D7" i="13"/>
  <c r="H21" i="14"/>
  <c r="N21" i="14"/>
  <c r="Y24" i="14"/>
  <c r="I103" i="6"/>
  <c r="D22" i="13" s="1"/>
  <c r="H17" i="14"/>
  <c r="I25" i="5"/>
  <c r="D30" i="13"/>
  <c r="H12" i="14"/>
  <c r="E40" i="6"/>
  <c r="W33" i="15"/>
  <c r="E88" i="6"/>
  <c r="Q88" i="6"/>
  <c r="M40" i="6"/>
  <c r="F31" i="13"/>
  <c r="G15" i="13"/>
  <c r="G31" i="13"/>
  <c r="H23" i="14"/>
  <c r="G10" i="13"/>
  <c r="G16" i="13"/>
  <c r="E20" i="13"/>
  <c r="F19" i="13"/>
  <c r="J58" i="1"/>
  <c r="H22" i="14"/>
  <c r="N22" i="14" s="1"/>
  <c r="U30" i="2"/>
  <c r="Y30" i="2"/>
  <c r="E9" i="13"/>
  <c r="E16" i="13"/>
  <c r="G20" i="13"/>
  <c r="D15" i="13"/>
  <c r="H15" i="13" s="1"/>
  <c r="D9" i="13"/>
  <c r="F20" i="13"/>
  <c r="C19" i="13"/>
  <c r="G19" i="13"/>
  <c r="F15" i="13"/>
  <c r="G28" i="13"/>
  <c r="Y22" i="14"/>
  <c r="Y10" i="15"/>
  <c r="Y16" i="15"/>
  <c r="Y23" i="15"/>
  <c r="H24" i="14"/>
  <c r="P24" i="14"/>
  <c r="H26" i="14"/>
  <c r="N26" i="14"/>
  <c r="V26" i="14" s="1"/>
  <c r="U29" i="2"/>
  <c r="Y29" i="2" s="1"/>
  <c r="E49" i="1"/>
  <c r="H9" i="14"/>
  <c r="H11" i="14"/>
  <c r="H15" i="14"/>
  <c r="H19" i="14"/>
  <c r="H43" i="14" s="1"/>
  <c r="H28" i="14"/>
  <c r="T28" i="14" s="1"/>
  <c r="X28" i="14" s="1"/>
  <c r="J77" i="17"/>
  <c r="J78" i="16"/>
  <c r="L78" i="16"/>
  <c r="J78" i="15"/>
  <c r="J78" i="14"/>
  <c r="G11" i="16"/>
  <c r="H11" i="16" s="1"/>
  <c r="T38" i="15"/>
  <c r="T50" i="15" s="1"/>
  <c r="H6" i="15"/>
  <c r="G6" i="16"/>
  <c r="H6" i="16" s="1"/>
  <c r="L6" i="16" s="1"/>
  <c r="L12" i="15"/>
  <c r="H14" i="15"/>
  <c r="X17" i="15"/>
  <c r="H22" i="15"/>
  <c r="P22" i="15" s="1"/>
  <c r="X22" i="15" s="1"/>
  <c r="Z16" i="17"/>
  <c r="AA16" i="17" s="1"/>
  <c r="Z16" i="16"/>
  <c r="AA16" i="16" s="1"/>
  <c r="V30" i="15"/>
  <c r="Z30" i="15" s="1"/>
  <c r="AA30" i="15" s="1"/>
  <c r="R39" i="15"/>
  <c r="X30" i="15"/>
  <c r="T39" i="15"/>
  <c r="X39" i="15"/>
  <c r="R39" i="17"/>
  <c r="V39" i="17" s="1"/>
  <c r="V30" i="17"/>
  <c r="AA30" i="17"/>
  <c r="AA15" i="16"/>
  <c r="R29" i="2"/>
  <c r="J49" i="1" s="1"/>
  <c r="E35" i="6"/>
  <c r="Q35" i="6"/>
  <c r="Y7" i="15"/>
  <c r="Y8" i="14"/>
  <c r="V14" i="15"/>
  <c r="X14" i="15"/>
  <c r="R11" i="15"/>
  <c r="R41" i="15" s="1"/>
  <c r="V17" i="15"/>
  <c r="Z17" i="15" s="1"/>
  <c r="Y23" i="14"/>
  <c r="Y19" i="14"/>
  <c r="V14" i="14"/>
  <c r="J6" i="14"/>
  <c r="V6" i="14" s="1"/>
  <c r="T38" i="14"/>
  <c r="T50" i="14"/>
  <c r="X14" i="14"/>
  <c r="Z14" i="14"/>
  <c r="X17" i="14"/>
  <c r="P21" i="14"/>
  <c r="L6" i="14"/>
  <c r="X6" i="14" s="1"/>
  <c r="V17" i="14"/>
  <c r="Z17" i="14" s="1"/>
  <c r="AA17" i="14" s="1"/>
  <c r="R29" i="14"/>
  <c r="V29" i="14"/>
  <c r="C22" i="13"/>
  <c r="U57" i="6"/>
  <c r="U62" i="6"/>
  <c r="M92" i="6"/>
  <c r="E81" i="13" s="1"/>
  <c r="I92" i="6"/>
  <c r="D81" i="13"/>
  <c r="E51" i="1"/>
  <c r="E50" i="1"/>
  <c r="E48" i="1"/>
  <c r="E29" i="1"/>
  <c r="E28" i="1"/>
  <c r="E27" i="1"/>
  <c r="M16" i="7"/>
  <c r="M15" i="7"/>
  <c r="M14" i="7"/>
  <c r="M13" i="7"/>
  <c r="I16" i="7"/>
  <c r="I15" i="7"/>
  <c r="I14" i="7"/>
  <c r="I13" i="7"/>
  <c r="I12" i="7" s="1"/>
  <c r="I5" i="7" s="1"/>
  <c r="E16" i="7"/>
  <c r="E15" i="7"/>
  <c r="E13" i="7"/>
  <c r="E100" i="6"/>
  <c r="E99" i="6" s="1"/>
  <c r="M97" i="6"/>
  <c r="M96" i="6" s="1"/>
  <c r="I97" i="6"/>
  <c r="I96" i="6"/>
  <c r="E97" i="6"/>
  <c r="E96" i="6" s="1"/>
  <c r="M86" i="6"/>
  <c r="I86" i="6"/>
  <c r="I84" i="6"/>
  <c r="E86" i="6"/>
  <c r="E84" i="6"/>
  <c r="E83" i="6" s="1"/>
  <c r="E63" i="6"/>
  <c r="E62" i="6" s="1"/>
  <c r="E64" i="6"/>
  <c r="E58" i="6"/>
  <c r="E59" i="6"/>
  <c r="E32" i="6"/>
  <c r="E33" i="6"/>
  <c r="E10" i="6"/>
  <c r="J35" i="1" s="1"/>
  <c r="E19" i="6"/>
  <c r="M54" i="5"/>
  <c r="E10" i="13"/>
  <c r="I54" i="5"/>
  <c r="D10" i="13" s="1"/>
  <c r="E54" i="5"/>
  <c r="U21" i="5"/>
  <c r="U20" i="5"/>
  <c r="G67" i="13" s="1"/>
  <c r="Q21" i="5"/>
  <c r="F73" i="13"/>
  <c r="Q20" i="5"/>
  <c r="F67" i="13" s="1"/>
  <c r="E37" i="5"/>
  <c r="C35" i="5"/>
  <c r="E35" i="5"/>
  <c r="E34" i="5"/>
  <c r="E33" i="5"/>
  <c r="E32" i="5"/>
  <c r="P22" i="14"/>
  <c r="X22" i="14" s="1"/>
  <c r="Z22" i="14" s="1"/>
  <c r="AA22" i="14" s="1"/>
  <c r="R28" i="14"/>
  <c r="L12" i="14"/>
  <c r="X12" i="14"/>
  <c r="N24" i="14"/>
  <c r="N38" i="14" s="1"/>
  <c r="N22" i="15"/>
  <c r="V22" i="15" s="1"/>
  <c r="Z22" i="15" s="1"/>
  <c r="AA22" i="15" s="1"/>
  <c r="H10" i="13"/>
  <c r="N19" i="14"/>
  <c r="N43" i="14" s="1"/>
  <c r="N61" i="14" s="1"/>
  <c r="P26" i="14"/>
  <c r="X26" i="14" s="1"/>
  <c r="C10" i="13"/>
  <c r="H20" i="1"/>
  <c r="J20" i="1"/>
  <c r="P19" i="14"/>
  <c r="X19" i="14" s="1"/>
  <c r="I83" i="6"/>
  <c r="L11" i="15"/>
  <c r="V22" i="14"/>
  <c r="E18" i="6"/>
  <c r="M83" i="6"/>
  <c r="Z14" i="15"/>
  <c r="AA14" i="15" s="1"/>
  <c r="G25" i="17"/>
  <c r="H25" i="17"/>
  <c r="N25" i="17" s="1"/>
  <c r="V25" i="17" s="1"/>
  <c r="H14" i="17"/>
  <c r="H14" i="16"/>
  <c r="G6" i="17"/>
  <c r="H6" i="17" s="1"/>
  <c r="L6" i="17" s="1"/>
  <c r="H9" i="16"/>
  <c r="T9" i="16" s="1"/>
  <c r="T40" i="16" s="1"/>
  <c r="V39" i="15"/>
  <c r="Z39" i="15"/>
  <c r="AA39" i="15" s="1"/>
  <c r="V29" i="2"/>
  <c r="Z29" i="2" s="1"/>
  <c r="AA29" i="2" s="1"/>
  <c r="X24" i="14"/>
  <c r="P38" i="14"/>
  <c r="M34" i="7"/>
  <c r="M33" i="7" s="1"/>
  <c r="E31" i="6"/>
  <c r="E26" i="6" s="1"/>
  <c r="E57" i="6"/>
  <c r="E5" i="6"/>
  <c r="E27" i="5"/>
  <c r="E26" i="5"/>
  <c r="E7" i="5"/>
  <c r="E6" i="5"/>
  <c r="C57" i="13" s="1"/>
  <c r="E15" i="5"/>
  <c r="E14" i="5"/>
  <c r="E13" i="5" s="1"/>
  <c r="E13" i="1"/>
  <c r="E12" i="1"/>
  <c r="E11" i="1"/>
  <c r="E10" i="1"/>
  <c r="E9" i="1"/>
  <c r="K57" i="2"/>
  <c r="K61" i="2"/>
  <c r="S61" i="2"/>
  <c r="V65" i="2"/>
  <c r="V61" i="2"/>
  <c r="V57" i="2"/>
  <c r="S65" i="2"/>
  <c r="O65" i="2"/>
  <c r="K65" i="2"/>
  <c r="S49" i="2"/>
  <c r="O49" i="2"/>
  <c r="K49" i="2"/>
  <c r="K53" i="2"/>
  <c r="S53" i="2"/>
  <c r="O53" i="2"/>
  <c r="S57" i="2"/>
  <c r="O57" i="2"/>
  <c r="O61" i="2"/>
  <c r="S52" i="2"/>
  <c r="O52" i="2"/>
  <c r="S48" i="2"/>
  <c r="O48" i="2"/>
  <c r="V49" i="2"/>
  <c r="T43" i="2"/>
  <c r="R43" i="2"/>
  <c r="T64" i="2" s="1"/>
  <c r="T42" i="2"/>
  <c r="R42" i="2"/>
  <c r="T60" i="2" s="1"/>
  <c r="T62" i="2" s="1"/>
  <c r="T76" i="2" s="1"/>
  <c r="L43" i="2"/>
  <c r="L42" i="2"/>
  <c r="J43" i="2"/>
  <c r="J64" i="2" s="1"/>
  <c r="J42" i="2"/>
  <c r="J60" i="2" s="1"/>
  <c r="S56" i="2"/>
  <c r="S60" i="2"/>
  <c r="S64" i="2"/>
  <c r="O56" i="2"/>
  <c r="O60" i="2"/>
  <c r="O64" i="2"/>
  <c r="K52" i="2"/>
  <c r="K56" i="2"/>
  <c r="K60" i="2"/>
  <c r="K64" i="2"/>
  <c r="K48" i="2"/>
  <c r="S32" i="2"/>
  <c r="W32" i="2" s="1"/>
  <c r="Q32" i="2"/>
  <c r="O32" i="2"/>
  <c r="M32" i="2"/>
  <c r="K32" i="2"/>
  <c r="I32" i="2"/>
  <c r="E32" i="2"/>
  <c r="G15" i="2"/>
  <c r="U18" i="2"/>
  <c r="W18" i="2"/>
  <c r="Y18" i="2" s="1"/>
  <c r="U19" i="2"/>
  <c r="Y19" i="2" s="1"/>
  <c r="W19" i="2"/>
  <c r="U21" i="2"/>
  <c r="Y21" i="2" s="1"/>
  <c r="W21" i="2"/>
  <c r="U22" i="2"/>
  <c r="W22" i="2"/>
  <c r="U23" i="2"/>
  <c r="W23" i="2"/>
  <c r="U24" i="2"/>
  <c r="W24" i="2"/>
  <c r="U27" i="2"/>
  <c r="W27" i="2"/>
  <c r="U28" i="2"/>
  <c r="W28" i="2"/>
  <c r="H18" i="2"/>
  <c r="H19" i="2"/>
  <c r="N19" i="2" s="1"/>
  <c r="V19" i="2" s="1"/>
  <c r="H21" i="2"/>
  <c r="N21" i="2" s="1"/>
  <c r="H22" i="2"/>
  <c r="N22" i="2" s="1"/>
  <c r="V22" i="2" s="1"/>
  <c r="H23" i="2"/>
  <c r="H24" i="2"/>
  <c r="H27" i="2"/>
  <c r="R27" i="2" s="1"/>
  <c r="V27" i="2" s="1"/>
  <c r="Z27" i="2" s="1"/>
  <c r="H28" i="2"/>
  <c r="R28" i="2" s="1"/>
  <c r="V28" i="2"/>
  <c r="U6" i="2"/>
  <c r="W6" i="2"/>
  <c r="Y6" i="2" s="1"/>
  <c r="U7" i="2"/>
  <c r="Y7" i="2" s="1"/>
  <c r="W7" i="2"/>
  <c r="U20" i="2"/>
  <c r="Y20" i="2"/>
  <c r="W20" i="2"/>
  <c r="U25" i="2"/>
  <c r="Y25" i="2"/>
  <c r="W25" i="2"/>
  <c r="U8" i="2"/>
  <c r="W8" i="2"/>
  <c r="U9" i="2"/>
  <c r="W9" i="2"/>
  <c r="U10" i="2"/>
  <c r="W10" i="2"/>
  <c r="Y10" i="2" s="1"/>
  <c r="U11" i="2"/>
  <c r="W11" i="2"/>
  <c r="Y11" i="2" s="1"/>
  <c r="U12" i="2"/>
  <c r="W12" i="2"/>
  <c r="U13" i="2"/>
  <c r="W13" i="2"/>
  <c r="U14" i="2"/>
  <c r="Y14" i="2" s="1"/>
  <c r="W14" i="2"/>
  <c r="U15" i="2"/>
  <c r="Y15" i="2" s="1"/>
  <c r="W15" i="2"/>
  <c r="U16" i="2"/>
  <c r="Y16" i="2" s="1"/>
  <c r="W16" i="2"/>
  <c r="H14" i="2"/>
  <c r="L14" i="2" s="1"/>
  <c r="X14" i="2" s="1"/>
  <c r="H16" i="2"/>
  <c r="X16" i="2"/>
  <c r="H13" i="2"/>
  <c r="J13" i="2"/>
  <c r="H6" i="2"/>
  <c r="H7" i="2"/>
  <c r="J7" i="2" s="1"/>
  <c r="V7" i="2" s="1"/>
  <c r="H20" i="2"/>
  <c r="N20" i="2" s="1"/>
  <c r="H25" i="2"/>
  <c r="H8" i="2"/>
  <c r="J8" i="2" s="1"/>
  <c r="H9" i="2"/>
  <c r="P9" i="2"/>
  <c r="P40" i="2" s="1"/>
  <c r="P57" i="2" s="1"/>
  <c r="H10" i="2"/>
  <c r="L10" i="2" s="1"/>
  <c r="H11" i="2"/>
  <c r="J11" i="2" s="1"/>
  <c r="V11" i="2" s="1"/>
  <c r="Z11" i="2" s="1"/>
  <c r="AA11" i="2" s="1"/>
  <c r="H12" i="2"/>
  <c r="L12" i="2" s="1"/>
  <c r="X12" i="2" s="1"/>
  <c r="W5" i="2"/>
  <c r="U5" i="2"/>
  <c r="H5" i="2"/>
  <c r="J5" i="2" s="1"/>
  <c r="N60" i="1"/>
  <c r="M60" i="1"/>
  <c r="L60" i="1"/>
  <c r="K60" i="1"/>
  <c r="H60" i="1"/>
  <c r="H22" i="13"/>
  <c r="U32" i="2"/>
  <c r="V24" i="14"/>
  <c r="Z24" i="14" s="1"/>
  <c r="AA24" i="14"/>
  <c r="E31" i="13"/>
  <c r="H31" i="13" s="1"/>
  <c r="C15" i="13"/>
  <c r="J34" i="1"/>
  <c r="P34" i="1" s="1"/>
  <c r="Y22" i="2"/>
  <c r="C17" i="13"/>
  <c r="H17" i="13" s="1"/>
  <c r="J36" i="1"/>
  <c r="D27" i="13"/>
  <c r="H41" i="2"/>
  <c r="P50" i="14"/>
  <c r="N63" i="14"/>
  <c r="V43" i="14"/>
  <c r="P61" i="14"/>
  <c r="P49" i="14"/>
  <c r="P51" i="14" s="1"/>
  <c r="P74" i="14" s="1"/>
  <c r="J11" i="16"/>
  <c r="V11" i="16" s="1"/>
  <c r="L11" i="16"/>
  <c r="R11" i="16"/>
  <c r="T11" i="16"/>
  <c r="T41" i="16" s="1"/>
  <c r="T58" i="16" s="1"/>
  <c r="T38" i="16"/>
  <c r="T50" i="16"/>
  <c r="X28" i="16"/>
  <c r="Z28" i="16" s="1"/>
  <c r="AA28" i="16" s="1"/>
  <c r="V28" i="16"/>
  <c r="J6" i="17"/>
  <c r="V6" i="17" s="1"/>
  <c r="Z6" i="17" s="1"/>
  <c r="AA6" i="17" s="1"/>
  <c r="V14" i="17"/>
  <c r="Z14" i="17" s="1"/>
  <c r="AA14" i="17" s="1"/>
  <c r="X14" i="17"/>
  <c r="V17" i="17"/>
  <c r="Z17" i="17" s="1"/>
  <c r="X17" i="17"/>
  <c r="P25" i="17"/>
  <c r="X25" i="17" s="1"/>
  <c r="Z25" i="17" s="1"/>
  <c r="AA25" i="17" s="1"/>
  <c r="T38" i="17"/>
  <c r="T50" i="17"/>
  <c r="V28" i="17"/>
  <c r="X28" i="17"/>
  <c r="J6" i="16"/>
  <c r="X14" i="16"/>
  <c r="V14" i="16"/>
  <c r="X17" i="16"/>
  <c r="V17" i="16"/>
  <c r="Z17" i="16" s="1"/>
  <c r="P25" i="16"/>
  <c r="X25" i="16" s="1"/>
  <c r="N25" i="16"/>
  <c r="V25" i="16" s="1"/>
  <c r="E19" i="5"/>
  <c r="E12" i="5" s="1"/>
  <c r="C8" i="13" s="1"/>
  <c r="I19" i="5"/>
  <c r="M19" i="5"/>
  <c r="E25" i="5"/>
  <c r="V13" i="2"/>
  <c r="Y27" i="2"/>
  <c r="Y23" i="2"/>
  <c r="N25" i="2"/>
  <c r="P25" i="2"/>
  <c r="X25" i="2"/>
  <c r="Y28" i="2"/>
  <c r="V20" i="2"/>
  <c r="Y13" i="2"/>
  <c r="Y9" i="2"/>
  <c r="Y8" i="2"/>
  <c r="Y24" i="2"/>
  <c r="L64" i="2"/>
  <c r="X64" i="2" s="1"/>
  <c r="N43" i="2"/>
  <c r="N18" i="2"/>
  <c r="T27" i="2"/>
  <c r="X27" i="2" s="1"/>
  <c r="T28" i="2"/>
  <c r="X28" i="2"/>
  <c r="Z28" i="2" s="1"/>
  <c r="AA28" i="2" s="1"/>
  <c r="N23" i="2"/>
  <c r="R10" i="2"/>
  <c r="L61" i="2"/>
  <c r="L65" i="2"/>
  <c r="T65" i="2"/>
  <c r="T10" i="2"/>
  <c r="T40" i="2"/>
  <c r="E5" i="5"/>
  <c r="V16" i="2"/>
  <c r="Z16" i="2" s="1"/>
  <c r="AA16" i="2" s="1"/>
  <c r="J14" i="2"/>
  <c r="J12" i="2"/>
  <c r="L11" i="2"/>
  <c r="X11" i="2" s="1"/>
  <c r="L9" i="2"/>
  <c r="X9" i="2" s="1"/>
  <c r="L7" i="2"/>
  <c r="X7" i="2" s="1"/>
  <c r="N9" i="2"/>
  <c r="N40" i="2" s="1"/>
  <c r="P18" i="2"/>
  <c r="J9" i="2"/>
  <c r="P58" i="1"/>
  <c r="N53" i="1"/>
  <c r="N62" i="1" s="1"/>
  <c r="N42" i="1"/>
  <c r="M42" i="1"/>
  <c r="L42" i="1"/>
  <c r="K42" i="1"/>
  <c r="H42" i="1"/>
  <c r="P38" i="1"/>
  <c r="P36" i="1"/>
  <c r="P35" i="1"/>
  <c r="P30" i="1"/>
  <c r="N21" i="1"/>
  <c r="M21" i="1"/>
  <c r="L21" i="1"/>
  <c r="K21" i="1"/>
  <c r="P20" i="1"/>
  <c r="N15" i="1"/>
  <c r="N23" i="1" s="1"/>
  <c r="C7" i="13"/>
  <c r="J17" i="1"/>
  <c r="H17" i="1"/>
  <c r="R41" i="16"/>
  <c r="T57" i="16" s="1"/>
  <c r="K48" i="1"/>
  <c r="J41" i="2"/>
  <c r="V41" i="2" s="1"/>
  <c r="Z41" i="2" s="1"/>
  <c r="R37" i="2"/>
  <c r="T48" i="2" s="1"/>
  <c r="T50" i="2" s="1"/>
  <c r="K52" i="1" s="1"/>
  <c r="Z14" i="16"/>
  <c r="AA14" i="16" s="1"/>
  <c r="Z28" i="17"/>
  <c r="AA28" i="17" s="1"/>
  <c r="X6" i="17"/>
  <c r="V6" i="16"/>
  <c r="J27" i="1"/>
  <c r="V25" i="2"/>
  <c r="Z25" i="2" s="1"/>
  <c r="AA25" i="2" s="1"/>
  <c r="T37" i="2"/>
  <c r="N56" i="2"/>
  <c r="N58" i="2" s="1"/>
  <c r="V14" i="2"/>
  <c r="Z14" i="2"/>
  <c r="AA14" i="2"/>
  <c r="J66" i="2"/>
  <c r="H48" i="1"/>
  <c r="V21" i="2"/>
  <c r="N42" i="2"/>
  <c r="V18" i="2"/>
  <c r="N64" i="2"/>
  <c r="N66" i="2" s="1"/>
  <c r="P64" i="2"/>
  <c r="X18" i="2"/>
  <c r="Z18" i="2" s="1"/>
  <c r="AA18" i="2" s="1"/>
  <c r="R48" i="2"/>
  <c r="R50" i="2" s="1"/>
  <c r="J62" i="2"/>
  <c r="N37" i="2"/>
  <c r="P48" i="2" s="1"/>
  <c r="V23" i="2"/>
  <c r="V12" i="2"/>
  <c r="Z12" i="2" s="1"/>
  <c r="AA12" i="2" s="1"/>
  <c r="T59" i="16"/>
  <c r="Z25" i="16"/>
  <c r="AA25" i="16" s="1"/>
  <c r="P17" i="1"/>
  <c r="T76" i="16"/>
  <c r="N77" i="14"/>
  <c r="N60" i="2"/>
  <c r="T49" i="2"/>
  <c r="N48" i="2"/>
  <c r="N50" i="2"/>
  <c r="J48" i="1"/>
  <c r="P48" i="1" s="1"/>
  <c r="J77" i="2"/>
  <c r="E82" i="6"/>
  <c r="C21" i="13" s="1"/>
  <c r="X12" i="15"/>
  <c r="L42" i="15"/>
  <c r="X42" i="15"/>
  <c r="C9" i="13"/>
  <c r="H9" i="13" s="1"/>
  <c r="J19" i="1"/>
  <c r="P19" i="1"/>
  <c r="H19" i="1"/>
  <c r="C20" i="13"/>
  <c r="H20" i="13" s="1"/>
  <c r="J39" i="1"/>
  <c r="P39" i="1" s="1"/>
  <c r="G81" i="13"/>
  <c r="U82" i="6"/>
  <c r="G21" i="13"/>
  <c r="G8" i="16"/>
  <c r="H8" i="15"/>
  <c r="L8" i="15" s="1"/>
  <c r="X8" i="15" s="1"/>
  <c r="H13" i="16"/>
  <c r="G13" i="17"/>
  <c r="H13" i="17"/>
  <c r="X30" i="16"/>
  <c r="Z30" i="16" s="1"/>
  <c r="T39" i="16"/>
  <c r="L15" i="14"/>
  <c r="J15" i="14"/>
  <c r="V15" i="14" s="1"/>
  <c r="Z15" i="14" s="1"/>
  <c r="AA15" i="14" s="1"/>
  <c r="I26" i="6"/>
  <c r="D18" i="13"/>
  <c r="N24" i="2"/>
  <c r="P24" i="2"/>
  <c r="T8" i="2"/>
  <c r="L8" i="2"/>
  <c r="X8" i="2" s="1"/>
  <c r="Z8" i="2" s="1"/>
  <c r="AA8" i="2" s="1"/>
  <c r="R8" i="2"/>
  <c r="R38" i="14"/>
  <c r="V28" i="14"/>
  <c r="Z28" i="14" s="1"/>
  <c r="AA28" i="14" s="1"/>
  <c r="E12" i="7"/>
  <c r="E5" i="7" s="1"/>
  <c r="Z6" i="14"/>
  <c r="AA6" i="14"/>
  <c r="N20" i="14"/>
  <c r="H44" i="14"/>
  <c r="P20" i="14"/>
  <c r="J12" i="15"/>
  <c r="V12" i="15" s="1"/>
  <c r="H42" i="15"/>
  <c r="J59" i="1"/>
  <c r="P59" i="1" s="1"/>
  <c r="C31" i="13"/>
  <c r="Y33" i="17"/>
  <c r="Y34" i="17"/>
  <c r="V30" i="14"/>
  <c r="Z30" i="14"/>
  <c r="AA30" i="14" s="1"/>
  <c r="R39" i="14"/>
  <c r="V39" i="14" s="1"/>
  <c r="X31" i="17"/>
  <c r="Z31" i="17" s="1"/>
  <c r="AA31" i="17" s="1"/>
  <c r="T39" i="17"/>
  <c r="J7" i="15"/>
  <c r="L7" i="15"/>
  <c r="Z26" i="14"/>
  <c r="AA26" i="14"/>
  <c r="V21" i="14"/>
  <c r="E57" i="13"/>
  <c r="M5" i="5"/>
  <c r="E7" i="13"/>
  <c r="AA30" i="16"/>
  <c r="E73" i="13"/>
  <c r="Q26" i="6"/>
  <c r="F18" i="13" s="1"/>
  <c r="H28" i="15"/>
  <c r="G28" i="16"/>
  <c r="L41" i="2"/>
  <c r="X41" i="2"/>
  <c r="AA41" i="2"/>
  <c r="H26" i="15"/>
  <c r="G26" i="16"/>
  <c r="H40" i="2"/>
  <c r="H56" i="2" s="1"/>
  <c r="H58" i="2" s="1"/>
  <c r="G19" i="16"/>
  <c r="H19" i="16" s="1"/>
  <c r="P19" i="16" s="1"/>
  <c r="H19" i="15"/>
  <c r="L42" i="14"/>
  <c r="X42" i="14" s="1"/>
  <c r="Q19" i="5"/>
  <c r="Q12" i="5"/>
  <c r="F8" i="13" s="1"/>
  <c r="H25" i="15"/>
  <c r="H9" i="15"/>
  <c r="L9" i="15" s="1"/>
  <c r="T61" i="16"/>
  <c r="T63" i="16" s="1"/>
  <c r="T77" i="16" s="1"/>
  <c r="H13" i="15"/>
  <c r="R77" i="16"/>
  <c r="R39" i="16"/>
  <c r="V39" i="16" s="1"/>
  <c r="Z39" i="16" s="1"/>
  <c r="K49" i="1"/>
  <c r="H39" i="16"/>
  <c r="AA39" i="16" s="1"/>
  <c r="U31" i="14"/>
  <c r="Y31" i="14" s="1"/>
  <c r="L61" i="15"/>
  <c r="L63" i="15" s="1"/>
  <c r="H49" i="1"/>
  <c r="L65" i="17"/>
  <c r="L67" i="17" s="1"/>
  <c r="J61" i="14"/>
  <c r="R49" i="14"/>
  <c r="R51" i="14" s="1"/>
  <c r="J13" i="16"/>
  <c r="L13" i="16"/>
  <c r="X13" i="16" s="1"/>
  <c r="X20" i="14"/>
  <c r="J8" i="15"/>
  <c r="X7" i="15"/>
  <c r="H18" i="1"/>
  <c r="H21" i="1" s="1"/>
  <c r="J18" i="1"/>
  <c r="G19" i="17"/>
  <c r="H19" i="17" s="1"/>
  <c r="V7" i="15"/>
  <c r="Z7" i="15" s="1"/>
  <c r="AA7" i="15" s="1"/>
  <c r="V20" i="14"/>
  <c r="Z20" i="14" s="1"/>
  <c r="AA20" i="14" s="1"/>
  <c r="H51" i="1"/>
  <c r="J51" i="1" s="1"/>
  <c r="P51" i="1" s="1"/>
  <c r="R39" i="2"/>
  <c r="R52" i="2" s="1"/>
  <c r="V8" i="2"/>
  <c r="J9" i="15"/>
  <c r="V9" i="15"/>
  <c r="R9" i="15"/>
  <c r="T9" i="15"/>
  <c r="G26" i="17"/>
  <c r="H26" i="17" s="1"/>
  <c r="H26" i="16"/>
  <c r="P26" i="16" s="1"/>
  <c r="X26" i="16" s="1"/>
  <c r="P49" i="1"/>
  <c r="T39" i="2"/>
  <c r="X15" i="14"/>
  <c r="X39" i="16"/>
  <c r="H10" i="1"/>
  <c r="J10" i="1" s="1"/>
  <c r="P10" i="1" s="1"/>
  <c r="P19" i="15"/>
  <c r="X19" i="15" s="1"/>
  <c r="Z19" i="15" s="1"/>
  <c r="H43" i="15"/>
  <c r="H61" i="15" s="1"/>
  <c r="H63" i="15" s="1"/>
  <c r="N19" i="15"/>
  <c r="V19" i="15" s="1"/>
  <c r="J63" i="14"/>
  <c r="V63" i="14" s="1"/>
  <c r="V61" i="14"/>
  <c r="H28" i="16"/>
  <c r="G28" i="17"/>
  <c r="H28" i="17" s="1"/>
  <c r="C27" i="13"/>
  <c r="J55" i="1"/>
  <c r="N39" i="2"/>
  <c r="N52" i="2" s="1"/>
  <c r="N54" i="2" s="1"/>
  <c r="N74" i="2" s="1"/>
  <c r="V24" i="2"/>
  <c r="N26" i="15"/>
  <c r="V26" i="15" s="1"/>
  <c r="P26" i="15"/>
  <c r="X26" i="15" s="1"/>
  <c r="Z26" i="15" s="1"/>
  <c r="AA26" i="15" s="1"/>
  <c r="L13" i="15"/>
  <c r="J13" i="15"/>
  <c r="V13" i="15" s="1"/>
  <c r="Z13" i="15" s="1"/>
  <c r="R28" i="15"/>
  <c r="T28" i="15"/>
  <c r="X28" i="15" s="1"/>
  <c r="X39" i="17"/>
  <c r="Z39" i="17"/>
  <c r="AA39" i="17" s="1"/>
  <c r="J42" i="15"/>
  <c r="V42" i="15" s="1"/>
  <c r="Z42" i="15" s="1"/>
  <c r="AA42" i="15" s="1"/>
  <c r="Z12" i="15"/>
  <c r="AA12" i="15" s="1"/>
  <c r="J13" i="17"/>
  <c r="J38" i="17" s="1"/>
  <c r="L13" i="17"/>
  <c r="V13" i="17"/>
  <c r="L77" i="15"/>
  <c r="J77" i="14"/>
  <c r="V77" i="14" s="1"/>
  <c r="N19" i="17"/>
  <c r="T53" i="2"/>
  <c r="N26" i="16"/>
  <c r="V26" i="16" s="1"/>
  <c r="Z26" i="16" s="1"/>
  <c r="AA26" i="16" s="1"/>
  <c r="J38" i="16"/>
  <c r="V13" i="16"/>
  <c r="Z13" i="16"/>
  <c r="AA13" i="16" s="1"/>
  <c r="N26" i="17"/>
  <c r="V8" i="15"/>
  <c r="R74" i="14"/>
  <c r="X13" i="15"/>
  <c r="V28" i="15"/>
  <c r="N44" i="2"/>
  <c r="C13" i="13" s="1"/>
  <c r="P52" i="2"/>
  <c r="P55" i="1"/>
  <c r="T40" i="15"/>
  <c r="L78" i="17"/>
  <c r="R54" i="2"/>
  <c r="R74" i="2" s="1"/>
  <c r="P43" i="15"/>
  <c r="P62" i="15" s="1"/>
  <c r="R40" i="15"/>
  <c r="AA19" i="15"/>
  <c r="X62" i="15"/>
  <c r="Z62" i="15"/>
  <c r="V26" i="17"/>
  <c r="T54" i="15"/>
  <c r="T55" i="15" s="1"/>
  <c r="L49" i="16"/>
  <c r="J49" i="16"/>
  <c r="V19" i="17"/>
  <c r="AA13" i="15"/>
  <c r="R75" i="15"/>
  <c r="T53" i="15"/>
  <c r="R53" i="15"/>
  <c r="R55" i="15"/>
  <c r="D78" i="13"/>
  <c r="D60" i="13"/>
  <c r="T75" i="15"/>
  <c r="J51" i="16"/>
  <c r="J74" i="16" s="1"/>
  <c r="J47" i="19" l="1"/>
  <c r="J53" i="19" s="1"/>
  <c r="X19" i="16"/>
  <c r="Z9" i="15"/>
  <c r="AA9" i="15" s="1"/>
  <c r="L29" i="1"/>
  <c r="H29" i="1"/>
  <c r="X24" i="2"/>
  <c r="Z24" i="2" s="1"/>
  <c r="AA24" i="2" s="1"/>
  <c r="N19" i="16"/>
  <c r="H75" i="2"/>
  <c r="Z13" i="17"/>
  <c r="AA13" i="17" s="1"/>
  <c r="X13" i="17"/>
  <c r="L38" i="17"/>
  <c r="L49" i="17"/>
  <c r="J49" i="17"/>
  <c r="H8" i="16"/>
  <c r="G8" i="17"/>
  <c r="H8" i="17" s="1"/>
  <c r="P19" i="17"/>
  <c r="N69" i="2"/>
  <c r="T54" i="16"/>
  <c r="T45" i="16"/>
  <c r="H77" i="15"/>
  <c r="L9" i="17"/>
  <c r="T9" i="17"/>
  <c r="R9" i="17"/>
  <c r="J9" i="17"/>
  <c r="H65" i="14"/>
  <c r="H67" i="14" s="1"/>
  <c r="H78" i="14" s="1"/>
  <c r="X9" i="15"/>
  <c r="N62" i="2"/>
  <c r="H9" i="1"/>
  <c r="J37" i="2"/>
  <c r="V5" i="2"/>
  <c r="J9" i="1"/>
  <c r="T52" i="2"/>
  <c r="T54" i="2" s="1"/>
  <c r="J21" i="1"/>
  <c r="P18" i="1"/>
  <c r="P21" i="1" s="1"/>
  <c r="Z8" i="15"/>
  <c r="N25" i="15"/>
  <c r="V25" i="15" s="1"/>
  <c r="Z25" i="15" s="1"/>
  <c r="AA25" i="15" s="1"/>
  <c r="P25" i="15"/>
  <c r="X25" i="15" s="1"/>
  <c r="J76" i="2"/>
  <c r="J37" i="1"/>
  <c r="C18" i="13"/>
  <c r="H18" i="13" s="1"/>
  <c r="V66" i="2"/>
  <c r="P26" i="17"/>
  <c r="X26" i="17" s="1"/>
  <c r="Z26" i="17" s="1"/>
  <c r="AA26" i="17" s="1"/>
  <c r="N75" i="2"/>
  <c r="P56" i="2"/>
  <c r="P58" i="2" s="1"/>
  <c r="X43" i="15"/>
  <c r="Z28" i="15"/>
  <c r="AA28" i="15" s="1"/>
  <c r="P60" i="2"/>
  <c r="V42" i="2"/>
  <c r="N76" i="2"/>
  <c r="N43" i="15"/>
  <c r="T49" i="14"/>
  <c r="T51" i="14" s="1"/>
  <c r="L40" i="2"/>
  <c r="Z6" i="16"/>
  <c r="AA6" i="16" s="1"/>
  <c r="Z7" i="2"/>
  <c r="AA7" i="2" s="1"/>
  <c r="Y12" i="2"/>
  <c r="G73" i="13"/>
  <c r="H73" i="13" s="1"/>
  <c r="U19" i="5"/>
  <c r="U12" i="5" s="1"/>
  <c r="G8" i="13" s="1"/>
  <c r="M12" i="7"/>
  <c r="M5" i="7" s="1"/>
  <c r="E27" i="13" s="1"/>
  <c r="H27" i="13" s="1"/>
  <c r="AA8" i="15"/>
  <c r="N32" i="2"/>
  <c r="R40" i="2"/>
  <c r="P22" i="2"/>
  <c r="X22" i="2" s="1"/>
  <c r="Z22" i="2" s="1"/>
  <c r="AA22" i="2" s="1"/>
  <c r="J6" i="2"/>
  <c r="L6" i="2"/>
  <c r="P43" i="14"/>
  <c r="J29" i="1"/>
  <c r="J28" i="1"/>
  <c r="V9" i="2"/>
  <c r="Z9" i="2" s="1"/>
  <c r="AA9" i="2" s="1"/>
  <c r="L13" i="2"/>
  <c r="V64" i="2"/>
  <c r="Z64" i="2" s="1"/>
  <c r="H61" i="14"/>
  <c r="H63" i="14" s="1"/>
  <c r="P19" i="2"/>
  <c r="H43" i="2"/>
  <c r="X11" i="16"/>
  <c r="Z11" i="16" s="1"/>
  <c r="AA11" i="16" s="1"/>
  <c r="H10" i="15"/>
  <c r="G10" i="16"/>
  <c r="N73" i="2"/>
  <c r="N78" i="2" s="1"/>
  <c r="T57" i="2"/>
  <c r="L5" i="2"/>
  <c r="H37" i="2"/>
  <c r="C29" i="13"/>
  <c r="H29" i="13" s="1"/>
  <c r="J57" i="1"/>
  <c r="P57" i="1" s="1"/>
  <c r="M9" i="1"/>
  <c r="Y5" i="2"/>
  <c r="R60" i="2"/>
  <c r="R62" i="2" s="1"/>
  <c r="V62" i="2" s="1"/>
  <c r="X6" i="16"/>
  <c r="L38" i="16"/>
  <c r="R9" i="14"/>
  <c r="L9" i="14"/>
  <c r="T9" i="14"/>
  <c r="J9" i="14"/>
  <c r="U26" i="6"/>
  <c r="G18" i="13" s="1"/>
  <c r="L6" i="15"/>
  <c r="T66" i="2"/>
  <c r="T77" i="2" s="1"/>
  <c r="J9" i="16"/>
  <c r="L9" i="16"/>
  <c r="X9" i="16" s="1"/>
  <c r="R9" i="16"/>
  <c r="R57" i="16"/>
  <c r="R59" i="16" s="1"/>
  <c r="R76" i="16" s="1"/>
  <c r="V43" i="2"/>
  <c r="J40" i="1"/>
  <c r="P40" i="1" s="1"/>
  <c r="R32" i="2"/>
  <c r="L66" i="2"/>
  <c r="R64" i="2"/>
  <c r="R66" i="2" s="1"/>
  <c r="R77" i="2" s="1"/>
  <c r="Y32" i="2"/>
  <c r="Y33" i="2" s="1"/>
  <c r="X10" i="2"/>
  <c r="T39" i="14"/>
  <c r="X61" i="14"/>
  <c r="Z61" i="14" s="1"/>
  <c r="J6" i="15"/>
  <c r="N77" i="2"/>
  <c r="V77" i="2" s="1"/>
  <c r="G16" i="14"/>
  <c r="H15" i="2"/>
  <c r="N49" i="14"/>
  <c r="N51" i="14" s="1"/>
  <c r="T57" i="15"/>
  <c r="R57" i="15"/>
  <c r="R59" i="15" s="1"/>
  <c r="R76" i="15"/>
  <c r="T73" i="2"/>
  <c r="M29" i="1"/>
  <c r="Z29" i="14"/>
  <c r="AA29" i="14" s="1"/>
  <c r="I82" i="6"/>
  <c r="D21" i="13" s="1"/>
  <c r="H21" i="13" s="1"/>
  <c r="L66" i="14"/>
  <c r="P21" i="2"/>
  <c r="G11" i="17"/>
  <c r="H11" i="17" s="1"/>
  <c r="H30" i="13"/>
  <c r="T11" i="15"/>
  <c r="J11" i="15"/>
  <c r="V11" i="15" s="1"/>
  <c r="AA27" i="2"/>
  <c r="J10" i="2"/>
  <c r="N25" i="14"/>
  <c r="P25" i="14"/>
  <c r="X25" i="14" s="1"/>
  <c r="X21" i="14"/>
  <c r="Z21" i="14" s="1"/>
  <c r="AA21" i="14" s="1"/>
  <c r="P40" i="14"/>
  <c r="Y14" i="15"/>
  <c r="F57" i="13"/>
  <c r="Q5" i="5"/>
  <c r="F7" i="13" s="1"/>
  <c r="H7" i="13" s="1"/>
  <c r="H24" i="15"/>
  <c r="G24" i="16"/>
  <c r="T67" i="16"/>
  <c r="T78" i="16" s="1"/>
  <c r="J12" i="14"/>
  <c r="H42" i="14"/>
  <c r="I32" i="5"/>
  <c r="Z31" i="16"/>
  <c r="AA31" i="16" s="1"/>
  <c r="Y31" i="17"/>
  <c r="Y17" i="17"/>
  <c r="P23" i="2"/>
  <c r="H8" i="14"/>
  <c r="Y8" i="15"/>
  <c r="H23" i="15"/>
  <c r="G23" i="16"/>
  <c r="H67" i="13"/>
  <c r="L61" i="17"/>
  <c r="H15" i="15"/>
  <c r="G15" i="16"/>
  <c r="G15" i="17" s="1"/>
  <c r="Z31" i="14"/>
  <c r="AA31" i="14" s="1"/>
  <c r="L63" i="16"/>
  <c r="M82" i="6"/>
  <c r="E21" i="13" s="1"/>
  <c r="T29" i="14"/>
  <c r="X29" i="14" s="1"/>
  <c r="U33" i="16"/>
  <c r="Y11" i="17"/>
  <c r="M32" i="5"/>
  <c r="M12" i="5" s="1"/>
  <c r="E8" i="13" s="1"/>
  <c r="G21" i="16"/>
  <c r="H21" i="15"/>
  <c r="G17" i="16"/>
  <c r="H17" i="15"/>
  <c r="AA17" i="15" s="1"/>
  <c r="R30" i="2"/>
  <c r="H38" i="2"/>
  <c r="T30" i="2"/>
  <c r="H50" i="1" s="1"/>
  <c r="W33" i="16"/>
  <c r="V19" i="14"/>
  <c r="Z19" i="14" s="1"/>
  <c r="AA19" i="14" s="1"/>
  <c r="H42" i="2"/>
  <c r="M26" i="6"/>
  <c r="E18" i="13" s="1"/>
  <c r="C28" i="13"/>
  <c r="H28" i="13" s="1"/>
  <c r="J56" i="1"/>
  <c r="H20" i="15"/>
  <c r="G20" i="16"/>
  <c r="L77" i="14"/>
  <c r="J11" i="14"/>
  <c r="R11" i="14"/>
  <c r="R41" i="14" s="1"/>
  <c r="L11" i="14"/>
  <c r="X11" i="14" s="1"/>
  <c r="T11" i="14"/>
  <c r="T41" i="14" s="1"/>
  <c r="H19" i="13"/>
  <c r="P23" i="14"/>
  <c r="N23" i="14"/>
  <c r="I12" i="5"/>
  <c r="D8" i="13" s="1"/>
  <c r="H8" i="13" s="1"/>
  <c r="L7" i="14"/>
  <c r="G22" i="17"/>
  <c r="H22" i="17" s="1"/>
  <c r="H43" i="17" s="1"/>
  <c r="H22" i="16"/>
  <c r="H43" i="16" s="1"/>
  <c r="T77" i="14"/>
  <c r="L67" i="14"/>
  <c r="W33" i="14"/>
  <c r="Y33" i="14" s="1"/>
  <c r="Y34" i="14" s="1"/>
  <c r="P20" i="2"/>
  <c r="N10" i="14"/>
  <c r="T65" i="17"/>
  <c r="T67" i="17" s="1"/>
  <c r="T78" i="17" s="1"/>
  <c r="L60" i="2"/>
  <c r="P10" i="14"/>
  <c r="Q33" i="16"/>
  <c r="R78" i="17"/>
  <c r="C16" i="13"/>
  <c r="H16" i="13" s="1"/>
  <c r="J10" i="14"/>
  <c r="D57" i="13"/>
  <c r="G12" i="16"/>
  <c r="G29" i="15"/>
  <c r="H39" i="14"/>
  <c r="G7" i="16"/>
  <c r="R65" i="14"/>
  <c r="R67" i="14" s="1"/>
  <c r="R78" i="14" s="1"/>
  <c r="H13" i="14"/>
  <c r="J50" i="19" l="1"/>
  <c r="J51" i="19"/>
  <c r="J52" i="19"/>
  <c r="C80" i="13"/>
  <c r="H61" i="16"/>
  <c r="H63" i="16" s="1"/>
  <c r="H77" i="16"/>
  <c r="H61" i="17"/>
  <c r="H63" i="17" s="1"/>
  <c r="P29" i="1"/>
  <c r="V23" i="14"/>
  <c r="N44" i="14"/>
  <c r="X43" i="14"/>
  <c r="Z43" i="14" s="1"/>
  <c r="AA43" i="14" s="1"/>
  <c r="P62" i="14"/>
  <c r="X19" i="17"/>
  <c r="Z19" i="17" s="1"/>
  <c r="AA19" i="17" s="1"/>
  <c r="N41" i="14"/>
  <c r="N33" i="14"/>
  <c r="V9" i="14"/>
  <c r="V12" i="14"/>
  <c r="Z12" i="14" s="1"/>
  <c r="AA12" i="14" s="1"/>
  <c r="J42" i="14"/>
  <c r="V42" i="14" s="1"/>
  <c r="Z42" i="14" s="1"/>
  <c r="AA42" i="14" s="1"/>
  <c r="G16" i="15"/>
  <c r="H16" i="14"/>
  <c r="L57" i="2"/>
  <c r="X57" i="2" s="1"/>
  <c r="Z57" i="2" s="1"/>
  <c r="X40" i="2"/>
  <c r="P37" i="1"/>
  <c r="P42" i="1" s="1"/>
  <c r="J42" i="1"/>
  <c r="L77" i="16"/>
  <c r="Z11" i="15"/>
  <c r="AA11" i="15" s="1"/>
  <c r="L11" i="17"/>
  <c r="X11" i="17" s="1"/>
  <c r="T11" i="17"/>
  <c r="T41" i="17" s="1"/>
  <c r="R11" i="17"/>
  <c r="R41" i="17" s="1"/>
  <c r="J11" i="17"/>
  <c r="V11" i="17" s="1"/>
  <c r="X9" i="14"/>
  <c r="G10" i="17"/>
  <c r="H10" i="17" s="1"/>
  <c r="H10" i="16"/>
  <c r="T74" i="14"/>
  <c r="L8" i="17"/>
  <c r="J8" i="17"/>
  <c r="V19" i="16"/>
  <c r="Z19" i="16" s="1"/>
  <c r="AA19" i="16" s="1"/>
  <c r="N43" i="16"/>
  <c r="L15" i="15"/>
  <c r="X15" i="15" s="1"/>
  <c r="J15" i="15"/>
  <c r="V15" i="15" s="1"/>
  <c r="Z15" i="15" s="1"/>
  <c r="AA15" i="15" s="1"/>
  <c r="H24" i="16"/>
  <c r="G24" i="17"/>
  <c r="H24" i="17" s="1"/>
  <c r="J10" i="15"/>
  <c r="N10" i="15"/>
  <c r="P10" i="15"/>
  <c r="L10" i="15"/>
  <c r="H41" i="15"/>
  <c r="V43" i="15"/>
  <c r="Z43" i="15" s="1"/>
  <c r="AA43" i="15" s="1"/>
  <c r="P61" i="15"/>
  <c r="N61" i="15"/>
  <c r="L8" i="16"/>
  <c r="J8" i="16"/>
  <c r="C14" i="13"/>
  <c r="N72" i="2"/>
  <c r="J31" i="1"/>
  <c r="X11" i="15"/>
  <c r="T41" i="15"/>
  <c r="H32" i="2"/>
  <c r="H39" i="2"/>
  <c r="L15" i="2"/>
  <c r="X15" i="2" s="1"/>
  <c r="J15" i="2"/>
  <c r="X23" i="14"/>
  <c r="P44" i="14"/>
  <c r="X30" i="2"/>
  <c r="T38" i="2"/>
  <c r="K50" i="1"/>
  <c r="K53" i="1" s="1"/>
  <c r="K62" i="1" s="1"/>
  <c r="T32" i="2"/>
  <c r="P41" i="14"/>
  <c r="P45" i="14" s="1"/>
  <c r="P33" i="14"/>
  <c r="L63" i="17"/>
  <c r="P42" i="2"/>
  <c r="X21" i="2"/>
  <c r="Z21" i="2" s="1"/>
  <c r="AA21" i="2" s="1"/>
  <c r="N28" i="1"/>
  <c r="R33" i="14"/>
  <c r="R40" i="14"/>
  <c r="X60" i="2"/>
  <c r="L62" i="2"/>
  <c r="T58" i="14"/>
  <c r="V30" i="2"/>
  <c r="Z30" i="2" s="1"/>
  <c r="AA30" i="2" s="1"/>
  <c r="R38" i="2"/>
  <c r="P24" i="15"/>
  <c r="N24" i="15"/>
  <c r="L50" i="16"/>
  <c r="X6" i="2"/>
  <c r="L9" i="1"/>
  <c r="L39" i="2"/>
  <c r="J50" i="1"/>
  <c r="L13" i="14"/>
  <c r="J13" i="14"/>
  <c r="H38" i="14"/>
  <c r="V10" i="14"/>
  <c r="Z10" i="14" s="1"/>
  <c r="AA10" i="14" s="1"/>
  <c r="T33" i="14"/>
  <c r="T40" i="14"/>
  <c r="G23" i="17"/>
  <c r="H23" i="17" s="1"/>
  <c r="H23" i="16"/>
  <c r="X10" i="14"/>
  <c r="H64" i="2"/>
  <c r="H66" i="2" s="1"/>
  <c r="H77" i="2" s="1"/>
  <c r="V6" i="2"/>
  <c r="Z6" i="2" s="1"/>
  <c r="AA6" i="2" s="1"/>
  <c r="J39" i="2"/>
  <c r="V9" i="17"/>
  <c r="V6" i="15"/>
  <c r="R40" i="16"/>
  <c r="R76" i="2"/>
  <c r="P43" i="2"/>
  <c r="X19" i="2"/>
  <c r="Z19" i="2" s="1"/>
  <c r="AA19" i="2" s="1"/>
  <c r="P32" i="2"/>
  <c r="N27" i="1"/>
  <c r="H28" i="1"/>
  <c r="T74" i="2"/>
  <c r="L52" i="1"/>
  <c r="L53" i="1" s="1"/>
  <c r="L62" i="1" s="1"/>
  <c r="T69" i="2"/>
  <c r="R40" i="17"/>
  <c r="J51" i="17"/>
  <c r="P9" i="1"/>
  <c r="T40" i="17"/>
  <c r="R56" i="2"/>
  <c r="R58" i="2" s="1"/>
  <c r="R69" i="2" s="1"/>
  <c r="T56" i="2"/>
  <c r="T58" i="2" s="1"/>
  <c r="R75" i="2"/>
  <c r="V9" i="16"/>
  <c r="Z9" i="16" s="1"/>
  <c r="AA9" i="16" s="1"/>
  <c r="V76" i="2"/>
  <c r="X9" i="17"/>
  <c r="R57" i="14"/>
  <c r="R59" i="14" s="1"/>
  <c r="R76" i="14" s="1"/>
  <c r="T57" i="14"/>
  <c r="H21" i="16"/>
  <c r="G21" i="17"/>
  <c r="H21" i="17" s="1"/>
  <c r="J8" i="14"/>
  <c r="H41" i="14"/>
  <c r="L8" i="14"/>
  <c r="H33" i="14"/>
  <c r="P37" i="2"/>
  <c r="X23" i="2"/>
  <c r="Z23" i="2" s="1"/>
  <c r="AA23" i="2" s="1"/>
  <c r="K28" i="1"/>
  <c r="L50" i="17"/>
  <c r="L51" i="17" s="1"/>
  <c r="H17" i="16"/>
  <c r="AA17" i="16" s="1"/>
  <c r="G17" i="17"/>
  <c r="H17" i="17" s="1"/>
  <c r="AA17" i="17" s="1"/>
  <c r="N23" i="15"/>
  <c r="V23" i="15" s="1"/>
  <c r="P23" i="15"/>
  <c r="X23" i="15" s="1"/>
  <c r="P21" i="15"/>
  <c r="N21" i="15"/>
  <c r="H7" i="16"/>
  <c r="G7" i="17"/>
  <c r="H7" i="17" s="1"/>
  <c r="P54" i="14"/>
  <c r="T45" i="14"/>
  <c r="X39" i="14"/>
  <c r="Z39" i="14" s="1"/>
  <c r="H77" i="14"/>
  <c r="AA39" i="14"/>
  <c r="P20" i="15"/>
  <c r="N20" i="15"/>
  <c r="H44" i="15"/>
  <c r="H27" i="1"/>
  <c r="P75" i="2"/>
  <c r="M31" i="1"/>
  <c r="M32" i="1" s="1"/>
  <c r="M44" i="1" s="1"/>
  <c r="L48" i="2"/>
  <c r="J48" i="2"/>
  <c r="V37" i="2"/>
  <c r="X6" i="15"/>
  <c r="L38" i="15"/>
  <c r="X20" i="2"/>
  <c r="Z20" i="2" s="1"/>
  <c r="AA20" i="2" s="1"/>
  <c r="P39" i="2"/>
  <c r="V11" i="14"/>
  <c r="Z11" i="14" s="1"/>
  <c r="AA11" i="14" s="1"/>
  <c r="L78" i="14"/>
  <c r="H20" i="16"/>
  <c r="G20" i="17"/>
  <c r="H20" i="17" s="1"/>
  <c r="G29" i="16"/>
  <c r="H29" i="15"/>
  <c r="P22" i="16"/>
  <c r="N22" i="16"/>
  <c r="V22" i="16" s="1"/>
  <c r="P56" i="1"/>
  <c r="P60" i="1" s="1"/>
  <c r="J60" i="1"/>
  <c r="Y33" i="16"/>
  <c r="Y34" i="16" s="1"/>
  <c r="G12" i="17"/>
  <c r="H12" i="17" s="1"/>
  <c r="H12" i="16"/>
  <c r="N22" i="17"/>
  <c r="P22" i="17"/>
  <c r="X22" i="17" s="1"/>
  <c r="V25" i="14"/>
  <c r="Z25" i="14" s="1"/>
  <c r="AA25" i="14" s="1"/>
  <c r="N40" i="14"/>
  <c r="H48" i="2"/>
  <c r="H50" i="2" s="1"/>
  <c r="H44" i="2"/>
  <c r="H12" i="1"/>
  <c r="J12" i="1" s="1"/>
  <c r="P12" i="1" s="1"/>
  <c r="X13" i="2"/>
  <c r="Z13" i="2" s="1"/>
  <c r="AA13" i="2" s="1"/>
  <c r="V60" i="2"/>
  <c r="Z60" i="2" s="1"/>
  <c r="X7" i="14"/>
  <c r="Z7" i="14" s="1"/>
  <c r="AA7" i="14" s="1"/>
  <c r="V10" i="2"/>
  <c r="Z10" i="2" s="1"/>
  <c r="AA10" i="2" s="1"/>
  <c r="J40" i="2"/>
  <c r="H11" i="1"/>
  <c r="J11" i="1" s="1"/>
  <c r="P11" i="1" s="1"/>
  <c r="X5" i="2"/>
  <c r="Z5" i="2" s="1"/>
  <c r="AA5" i="2" s="1"/>
  <c r="K9" i="1"/>
  <c r="L37" i="2"/>
  <c r="H57" i="13"/>
  <c r="H60" i="2"/>
  <c r="H62" i="2" s="1"/>
  <c r="H76" i="2"/>
  <c r="N74" i="14"/>
  <c r="L77" i="2"/>
  <c r="P28" i="1"/>
  <c r="J32" i="1"/>
  <c r="J55" i="19" l="1"/>
  <c r="L74" i="17"/>
  <c r="H42" i="16"/>
  <c r="J12" i="16"/>
  <c r="L12" i="16"/>
  <c r="V39" i="2"/>
  <c r="Z39" i="2" s="1"/>
  <c r="AA39" i="2" s="1"/>
  <c r="L52" i="2"/>
  <c r="J52" i="2"/>
  <c r="H29" i="16"/>
  <c r="G29" i="17"/>
  <c r="H29" i="17" s="1"/>
  <c r="X10" i="15"/>
  <c r="L41" i="15"/>
  <c r="X8" i="17"/>
  <c r="N38" i="15"/>
  <c r="V24" i="15"/>
  <c r="Z24" i="15" s="1"/>
  <c r="AA24" i="15" s="1"/>
  <c r="P41" i="15"/>
  <c r="P33" i="15"/>
  <c r="J74" i="17"/>
  <c r="P38" i="15"/>
  <c r="X24" i="15"/>
  <c r="N41" i="15"/>
  <c r="N33" i="15"/>
  <c r="H41" i="16"/>
  <c r="H65" i="15"/>
  <c r="H67" i="15" s="1"/>
  <c r="H78" i="15"/>
  <c r="Z11" i="17"/>
  <c r="AA11" i="17" s="1"/>
  <c r="X37" i="2"/>
  <c r="L44" i="2"/>
  <c r="L49" i="2"/>
  <c r="X49" i="2" s="1"/>
  <c r="Z49" i="2" s="1"/>
  <c r="X62" i="14"/>
  <c r="Z62" i="14" s="1"/>
  <c r="P63" i="14"/>
  <c r="H44" i="17"/>
  <c r="P20" i="17"/>
  <c r="N20" i="17"/>
  <c r="P58" i="14"/>
  <c r="H49" i="14"/>
  <c r="H51" i="14" s="1"/>
  <c r="H74" i="14"/>
  <c r="L32" i="2"/>
  <c r="X32" i="2" s="1"/>
  <c r="J38" i="15"/>
  <c r="V38" i="2"/>
  <c r="Z38" i="2" s="1"/>
  <c r="AA38" i="2" s="1"/>
  <c r="R44" i="2"/>
  <c r="C25" i="13" s="1"/>
  <c r="R73" i="2"/>
  <c r="R78" i="2" s="1"/>
  <c r="P65" i="14"/>
  <c r="V44" i="14"/>
  <c r="N65" i="14"/>
  <c r="C78" i="13"/>
  <c r="R53" i="16"/>
  <c r="R55" i="16" s="1"/>
  <c r="R75" i="16" s="1"/>
  <c r="T53" i="16"/>
  <c r="T55" i="16" s="1"/>
  <c r="T75" i="16" s="1"/>
  <c r="R75" i="17"/>
  <c r="R53" i="17"/>
  <c r="R55" i="17" s="1"/>
  <c r="T53" i="17"/>
  <c r="Z6" i="15"/>
  <c r="AA6" i="15" s="1"/>
  <c r="V13" i="14"/>
  <c r="J38" i="14"/>
  <c r="X38" i="2"/>
  <c r="T44" i="2"/>
  <c r="T72" i="2" s="1"/>
  <c r="C41" i="13"/>
  <c r="V10" i="15"/>
  <c r="J41" i="15"/>
  <c r="N10" i="16"/>
  <c r="L10" i="16"/>
  <c r="J10" i="16"/>
  <c r="P10" i="16"/>
  <c r="J16" i="14"/>
  <c r="L16" i="14"/>
  <c r="H40" i="14"/>
  <c r="Z23" i="14"/>
  <c r="AA23" i="14" s="1"/>
  <c r="X39" i="2"/>
  <c r="L53" i="2"/>
  <c r="L76" i="2"/>
  <c r="T59" i="14"/>
  <c r="T76" i="14" s="1"/>
  <c r="P53" i="14"/>
  <c r="P55" i="14" s="1"/>
  <c r="N53" i="14"/>
  <c r="N55" i="14" s="1"/>
  <c r="N75" i="14"/>
  <c r="N45" i="14"/>
  <c r="D13" i="13" s="1"/>
  <c r="P20" i="16"/>
  <c r="N20" i="16"/>
  <c r="H44" i="16"/>
  <c r="P53" i="2"/>
  <c r="P54" i="2" s="1"/>
  <c r="L31" i="1" s="1"/>
  <c r="L32" i="1" s="1"/>
  <c r="L44" i="1" s="1"/>
  <c r="P74" i="2"/>
  <c r="J7" i="17"/>
  <c r="L7" i="17"/>
  <c r="H40" i="17"/>
  <c r="Z9" i="17"/>
  <c r="AA9" i="17" s="1"/>
  <c r="X13" i="14"/>
  <c r="L38" i="14"/>
  <c r="N24" i="17"/>
  <c r="P24" i="17"/>
  <c r="L10" i="17"/>
  <c r="X10" i="17" s="1"/>
  <c r="J10" i="17"/>
  <c r="J41" i="17" s="1"/>
  <c r="P10" i="17"/>
  <c r="N10" i="17"/>
  <c r="G16" i="16"/>
  <c r="G16" i="17" s="1"/>
  <c r="H16" i="15"/>
  <c r="N24" i="16"/>
  <c r="P24" i="16"/>
  <c r="H38" i="16"/>
  <c r="V8" i="16"/>
  <c r="Z8" i="16" s="1"/>
  <c r="AA8" i="16" s="1"/>
  <c r="J41" i="16"/>
  <c r="H42" i="17"/>
  <c r="L12" i="17"/>
  <c r="J12" i="17"/>
  <c r="X38" i="15"/>
  <c r="L50" i="15"/>
  <c r="V20" i="15"/>
  <c r="Z20" i="15" s="1"/>
  <c r="AA20" i="15" s="1"/>
  <c r="N44" i="15"/>
  <c r="L41" i="16"/>
  <c r="X8" i="16"/>
  <c r="T57" i="17"/>
  <c r="T59" i="17" s="1"/>
  <c r="T76" i="17" s="1"/>
  <c r="R57" i="17"/>
  <c r="R59" i="17" s="1"/>
  <c r="R76" i="17" s="1"/>
  <c r="V22" i="17"/>
  <c r="Z22" i="17" s="1"/>
  <c r="AA22" i="17" s="1"/>
  <c r="N43" i="17"/>
  <c r="X44" i="14"/>
  <c r="P66" i="14"/>
  <c r="X66" i="14" s="1"/>
  <c r="Z66" i="14" s="1"/>
  <c r="P49" i="2"/>
  <c r="P50" i="2" s="1"/>
  <c r="P73" i="2"/>
  <c r="P44" i="2"/>
  <c r="L7" i="16"/>
  <c r="J7" i="16"/>
  <c r="H40" i="16"/>
  <c r="H33" i="16"/>
  <c r="V40" i="2"/>
  <c r="Z40" i="2" s="1"/>
  <c r="AA40" i="2" s="1"/>
  <c r="L56" i="2"/>
  <c r="J56" i="2"/>
  <c r="P50" i="1"/>
  <c r="X20" i="15"/>
  <c r="P44" i="15"/>
  <c r="X8" i="14"/>
  <c r="L41" i="14"/>
  <c r="H77" i="17"/>
  <c r="H57" i="14"/>
  <c r="H59" i="14" s="1"/>
  <c r="M52" i="1"/>
  <c r="M53" i="1" s="1"/>
  <c r="M62" i="1" s="1"/>
  <c r="T75" i="2"/>
  <c r="T78" i="2" s="1"/>
  <c r="N61" i="16"/>
  <c r="P61" i="16"/>
  <c r="V43" i="16"/>
  <c r="Z37" i="2"/>
  <c r="AA37" i="2" s="1"/>
  <c r="X22" i="16"/>
  <c r="P43" i="16"/>
  <c r="V48" i="2"/>
  <c r="Z48" i="2" s="1"/>
  <c r="J50" i="2"/>
  <c r="Z23" i="15"/>
  <c r="AA23" i="15" s="1"/>
  <c r="P21" i="17"/>
  <c r="N21" i="17"/>
  <c r="T54" i="17"/>
  <c r="T45" i="17"/>
  <c r="P23" i="17"/>
  <c r="X23" i="17" s="1"/>
  <c r="N23" i="17"/>
  <c r="V23" i="17" s="1"/>
  <c r="Z23" i="17" s="1"/>
  <c r="AA23" i="17" s="1"/>
  <c r="P61" i="2"/>
  <c r="X42" i="2"/>
  <c r="Z42" i="2" s="1"/>
  <c r="AA42" i="2" s="1"/>
  <c r="T76" i="15"/>
  <c r="T45" i="15"/>
  <c r="T58" i="15"/>
  <c r="T59" i="15" s="1"/>
  <c r="N76" i="14"/>
  <c r="P57" i="14"/>
  <c r="P59" i="14" s="1"/>
  <c r="P76" i="14" s="1"/>
  <c r="N57" i="14"/>
  <c r="N59" i="14" s="1"/>
  <c r="N40" i="15"/>
  <c r="V21" i="15"/>
  <c r="Z21" i="15" s="1"/>
  <c r="AA21" i="15" s="1"/>
  <c r="T53" i="14"/>
  <c r="R53" i="14"/>
  <c r="R55" i="14" s="1"/>
  <c r="R70" i="14" s="1"/>
  <c r="R75" i="14"/>
  <c r="R79" i="14" s="1"/>
  <c r="R45" i="14"/>
  <c r="D25" i="13" s="1"/>
  <c r="V15" i="2"/>
  <c r="Z15" i="2" s="1"/>
  <c r="AA15" i="2" s="1"/>
  <c r="H13" i="1"/>
  <c r="J32" i="2"/>
  <c r="V32" i="2" s="1"/>
  <c r="J13" i="1"/>
  <c r="P13" i="1" s="1"/>
  <c r="X21" i="15"/>
  <c r="P40" i="15"/>
  <c r="T58" i="17"/>
  <c r="J44" i="2"/>
  <c r="P27" i="1"/>
  <c r="L51" i="16"/>
  <c r="H52" i="2"/>
  <c r="H54" i="2" s="1"/>
  <c r="N63" i="15"/>
  <c r="V61" i="15"/>
  <c r="Z61" i="15" s="1"/>
  <c r="Z9" i="14"/>
  <c r="AA9" i="14" s="1"/>
  <c r="Z22" i="16"/>
  <c r="AA22" i="16" s="1"/>
  <c r="V8" i="14"/>
  <c r="J41" i="14"/>
  <c r="J33" i="14"/>
  <c r="V33" i="14" s="1"/>
  <c r="P23" i="16"/>
  <c r="X23" i="16" s="1"/>
  <c r="N23" i="16"/>
  <c r="V23" i="16" s="1"/>
  <c r="Z23" i="16" s="1"/>
  <c r="AA23" i="16" s="1"/>
  <c r="P65" i="2"/>
  <c r="X43" i="2"/>
  <c r="Z43" i="2" s="1"/>
  <c r="AA43" i="2" s="1"/>
  <c r="T54" i="14"/>
  <c r="V8" i="17"/>
  <c r="Z8" i="17" s="1"/>
  <c r="AA8" i="17" s="1"/>
  <c r="P43" i="17"/>
  <c r="C26" i="13"/>
  <c r="R72" i="2"/>
  <c r="J52" i="1"/>
  <c r="P52" i="1" s="1"/>
  <c r="T68" i="2"/>
  <c r="X61" i="15"/>
  <c r="P63" i="15"/>
  <c r="L50" i="2"/>
  <c r="L73" i="2" s="1"/>
  <c r="X48" i="2"/>
  <c r="P21" i="16"/>
  <c r="N21" i="16"/>
  <c r="H73" i="2"/>
  <c r="R29" i="15"/>
  <c r="T29" i="15"/>
  <c r="H38" i="15"/>
  <c r="L77" i="17"/>
  <c r="H57" i="15"/>
  <c r="H59" i="15" s="1"/>
  <c r="H76" i="15"/>
  <c r="H41" i="17"/>
  <c r="J44" i="1"/>
  <c r="C82" i="13"/>
  <c r="C61" i="13" s="1"/>
  <c r="L57" i="17" l="1"/>
  <c r="J57" i="17"/>
  <c r="X73" i="2"/>
  <c r="L57" i="16"/>
  <c r="J57" i="16"/>
  <c r="P38" i="17"/>
  <c r="X24" i="17"/>
  <c r="N44" i="16"/>
  <c r="V20" i="16"/>
  <c r="Z20" i="16" s="1"/>
  <c r="AA20" i="16" s="1"/>
  <c r="H75" i="14"/>
  <c r="H79" i="14" s="1"/>
  <c r="H53" i="14"/>
  <c r="H55" i="14" s="1"/>
  <c r="H57" i="16"/>
  <c r="H59" i="16" s="1"/>
  <c r="H76" i="16"/>
  <c r="X41" i="15"/>
  <c r="L58" i="15"/>
  <c r="X58" i="15" s="1"/>
  <c r="Z58" i="15" s="1"/>
  <c r="X20" i="17"/>
  <c r="P44" i="17"/>
  <c r="N38" i="17"/>
  <c r="V24" i="17"/>
  <c r="Z24" i="17" s="1"/>
  <c r="AA24" i="17" s="1"/>
  <c r="X20" i="16"/>
  <c r="P44" i="16"/>
  <c r="T55" i="17"/>
  <c r="T75" i="17" s="1"/>
  <c r="T71" i="2"/>
  <c r="Z33" i="14"/>
  <c r="AA33" i="14" s="1"/>
  <c r="D51" i="13"/>
  <c r="H45" i="16"/>
  <c r="H74" i="16"/>
  <c r="H49" i="16"/>
  <c r="H51" i="16" s="1"/>
  <c r="L50" i="14"/>
  <c r="X50" i="14" s="1"/>
  <c r="Z50" i="14" s="1"/>
  <c r="X38" i="14"/>
  <c r="V16" i="14"/>
  <c r="Z16" i="14" s="1"/>
  <c r="AA16" i="14" s="1"/>
  <c r="J40" i="14"/>
  <c r="C42" i="13"/>
  <c r="H65" i="17"/>
  <c r="H67" i="17" s="1"/>
  <c r="H78" i="17" s="1"/>
  <c r="R29" i="17"/>
  <c r="T29" i="17"/>
  <c r="V41" i="14"/>
  <c r="Z41" i="14" s="1"/>
  <c r="AA41" i="14" s="1"/>
  <c r="J57" i="14"/>
  <c r="L57" i="14"/>
  <c r="V21" i="17"/>
  <c r="Z21" i="17" s="1"/>
  <c r="AA21" i="17" s="1"/>
  <c r="N40" i="17"/>
  <c r="H53" i="16"/>
  <c r="H55" i="16" s="1"/>
  <c r="H75" i="16" s="1"/>
  <c r="X41" i="16"/>
  <c r="L58" i="16"/>
  <c r="P41" i="16"/>
  <c r="P33" i="16"/>
  <c r="N76" i="15"/>
  <c r="P57" i="15"/>
  <c r="P59" i="15" s="1"/>
  <c r="P76" i="15" s="1"/>
  <c r="N57" i="15"/>
  <c r="N59" i="15" s="1"/>
  <c r="R29" i="16"/>
  <c r="T29" i="16"/>
  <c r="X29" i="15"/>
  <c r="T33" i="15"/>
  <c r="X43" i="17"/>
  <c r="P62" i="17"/>
  <c r="X62" i="17" s="1"/>
  <c r="Z62" i="17" s="1"/>
  <c r="Z8" i="14"/>
  <c r="AA8" i="14" s="1"/>
  <c r="P54" i="15"/>
  <c r="X21" i="17"/>
  <c r="P40" i="17"/>
  <c r="H76" i="14"/>
  <c r="P38" i="16"/>
  <c r="X24" i="16"/>
  <c r="J49" i="15"/>
  <c r="V38" i="15"/>
  <c r="L49" i="15"/>
  <c r="H69" i="2"/>
  <c r="J54" i="2"/>
  <c r="V52" i="2"/>
  <c r="Z52" i="2" s="1"/>
  <c r="H52" i="1"/>
  <c r="H53" i="1" s="1"/>
  <c r="H62" i="1" s="1"/>
  <c r="P53" i="15"/>
  <c r="N53" i="15"/>
  <c r="N55" i="15" s="1"/>
  <c r="N75" i="15" s="1"/>
  <c r="J40" i="16"/>
  <c r="V7" i="16"/>
  <c r="J33" i="16"/>
  <c r="V24" i="16"/>
  <c r="Z24" i="16" s="1"/>
  <c r="AA24" i="16" s="1"/>
  <c r="N38" i="16"/>
  <c r="H53" i="17"/>
  <c r="H55" i="17" s="1"/>
  <c r="P70" i="14"/>
  <c r="P73" i="14" s="1"/>
  <c r="P75" i="14"/>
  <c r="V10" i="16"/>
  <c r="Z10" i="16" s="1"/>
  <c r="AA10" i="16" s="1"/>
  <c r="P50" i="15"/>
  <c r="P74" i="15"/>
  <c r="P45" i="15"/>
  <c r="L54" i="2"/>
  <c r="X52" i="2"/>
  <c r="C5" i="13"/>
  <c r="V45" i="2"/>
  <c r="X16" i="14"/>
  <c r="L40" i="14"/>
  <c r="L33" i="14"/>
  <c r="X33" i="14" s="1"/>
  <c r="H49" i="15"/>
  <c r="H51" i="15" s="1"/>
  <c r="H74" i="15"/>
  <c r="R33" i="15"/>
  <c r="R38" i="15"/>
  <c r="V29" i="15"/>
  <c r="Z29" i="15" s="1"/>
  <c r="AA29" i="15" s="1"/>
  <c r="V50" i="2"/>
  <c r="J69" i="2"/>
  <c r="J73" i="2"/>
  <c r="X41" i="14"/>
  <c r="L58" i="14"/>
  <c r="X58" i="14" s="1"/>
  <c r="Z58" i="14" s="1"/>
  <c r="X7" i="16"/>
  <c r="L40" i="16"/>
  <c r="L33" i="16"/>
  <c r="V44" i="15"/>
  <c r="P65" i="15"/>
  <c r="N65" i="15"/>
  <c r="H33" i="17"/>
  <c r="X10" i="16"/>
  <c r="X63" i="14"/>
  <c r="Z63" i="14" s="1"/>
  <c r="AA63" i="14" s="1"/>
  <c r="P77" i="14"/>
  <c r="X77" i="14" s="1"/>
  <c r="Z77" i="14" s="1"/>
  <c r="J16" i="15"/>
  <c r="L16" i="15"/>
  <c r="H33" i="15"/>
  <c r="H40" i="15"/>
  <c r="N41" i="16"/>
  <c r="V41" i="16" s="1"/>
  <c r="Z41" i="16" s="1"/>
  <c r="AA41" i="16" s="1"/>
  <c r="N33" i="16"/>
  <c r="Z32" i="2"/>
  <c r="AA32" i="2" s="1"/>
  <c r="C51" i="13"/>
  <c r="P66" i="15"/>
  <c r="X66" i="15" s="1"/>
  <c r="Z66" i="15" s="1"/>
  <c r="X44" i="15"/>
  <c r="L40" i="17"/>
  <c r="X7" i="17"/>
  <c r="L33" i="17"/>
  <c r="L57" i="15"/>
  <c r="J57" i="15"/>
  <c r="V41" i="15"/>
  <c r="Z41" i="15" s="1"/>
  <c r="AA41" i="15" s="1"/>
  <c r="V21" i="16"/>
  <c r="Z21" i="16" s="1"/>
  <c r="AA21" i="16" s="1"/>
  <c r="N40" i="16"/>
  <c r="K31" i="1"/>
  <c r="P69" i="2"/>
  <c r="V7" i="17"/>
  <c r="J40" i="17"/>
  <c r="J33" i="17"/>
  <c r="Z10" i="15"/>
  <c r="AA10" i="15" s="1"/>
  <c r="X45" i="2"/>
  <c r="X12" i="16"/>
  <c r="L42" i="16"/>
  <c r="X42" i="16" s="1"/>
  <c r="V63" i="15"/>
  <c r="Z63" i="15" s="1"/>
  <c r="AA63" i="15" s="1"/>
  <c r="N77" i="15"/>
  <c r="V77" i="15" s="1"/>
  <c r="P62" i="16"/>
  <c r="X62" i="16" s="1"/>
  <c r="Z62" i="16" s="1"/>
  <c r="P77" i="16"/>
  <c r="X77" i="16" s="1"/>
  <c r="X43" i="16"/>
  <c r="Z43" i="16" s="1"/>
  <c r="AA43" i="16" s="1"/>
  <c r="X21" i="16"/>
  <c r="P40" i="16"/>
  <c r="H74" i="2"/>
  <c r="X61" i="2"/>
  <c r="Z61" i="2" s="1"/>
  <c r="P62" i="2"/>
  <c r="V44" i="2"/>
  <c r="Z44" i="2" s="1"/>
  <c r="AA44" i="2" s="1"/>
  <c r="X50" i="15"/>
  <c r="Z50" i="15" s="1"/>
  <c r="N41" i="17"/>
  <c r="N33" i="17"/>
  <c r="C60" i="13"/>
  <c r="H45" i="14"/>
  <c r="X44" i="2"/>
  <c r="P58" i="15"/>
  <c r="V12" i="16"/>
  <c r="Z12" i="16" s="1"/>
  <c r="AA12" i="16" s="1"/>
  <c r="J42" i="16"/>
  <c r="V42" i="16" s="1"/>
  <c r="Z42" i="16" s="1"/>
  <c r="AA42" i="16" s="1"/>
  <c r="H78" i="2"/>
  <c r="P41" i="17"/>
  <c r="P33" i="17"/>
  <c r="L74" i="16"/>
  <c r="V12" i="17"/>
  <c r="J42" i="17"/>
  <c r="V42" i="17" s="1"/>
  <c r="V10" i="17"/>
  <c r="Z10" i="17" s="1"/>
  <c r="AA10" i="17" s="1"/>
  <c r="N67" i="14"/>
  <c r="N70" i="14" s="1"/>
  <c r="V65" i="14"/>
  <c r="Z65" i="14" s="1"/>
  <c r="H57" i="17"/>
  <c r="H59" i="17" s="1"/>
  <c r="H76" i="17" s="1"/>
  <c r="X50" i="2"/>
  <c r="K14" i="1"/>
  <c r="K15" i="1" s="1"/>
  <c r="K23" i="1" s="1"/>
  <c r="L69" i="2"/>
  <c r="X65" i="2"/>
  <c r="Z65" i="2" s="1"/>
  <c r="P66" i="2"/>
  <c r="J53" i="1"/>
  <c r="J62" i="1" s="1"/>
  <c r="X53" i="2"/>
  <c r="Z53" i="2" s="1"/>
  <c r="H70" i="14"/>
  <c r="R73" i="14"/>
  <c r="D26" i="13"/>
  <c r="D42" i="13" s="1"/>
  <c r="P53" i="1"/>
  <c r="P62" i="1" s="1"/>
  <c r="P61" i="17"/>
  <c r="V43" i="17"/>
  <c r="Z43" i="17" s="1"/>
  <c r="AA43" i="17" s="1"/>
  <c r="N61" i="17"/>
  <c r="X12" i="17"/>
  <c r="L42" i="17"/>
  <c r="X42" i="17" s="1"/>
  <c r="P49" i="15"/>
  <c r="P51" i="15" s="1"/>
  <c r="N49" i="15"/>
  <c r="N51" i="15" s="1"/>
  <c r="N74" i="15"/>
  <c r="N45" i="15"/>
  <c r="E13" i="13" s="1"/>
  <c r="T55" i="14"/>
  <c r="P63" i="16"/>
  <c r="X63" i="16" s="1"/>
  <c r="X61" i="16"/>
  <c r="V56" i="2"/>
  <c r="J58" i="2"/>
  <c r="H38" i="17"/>
  <c r="H65" i="16"/>
  <c r="H67" i="16" s="1"/>
  <c r="H78" i="16" s="1"/>
  <c r="J45" i="14"/>
  <c r="V38" i="14"/>
  <c r="J49" i="14"/>
  <c r="L49" i="14"/>
  <c r="P67" i="14"/>
  <c r="X65" i="14"/>
  <c r="L41" i="17"/>
  <c r="Z44" i="14"/>
  <c r="AA44" i="14" s="1"/>
  <c r="P77" i="15"/>
  <c r="X77" i="15" s="1"/>
  <c r="X63" i="15"/>
  <c r="V61" i="16"/>
  <c r="Z61" i="16" s="1"/>
  <c r="N63" i="16"/>
  <c r="X56" i="2"/>
  <c r="L58" i="2"/>
  <c r="Z13" i="14"/>
  <c r="AA13" i="14" s="1"/>
  <c r="N44" i="17"/>
  <c r="V20" i="17"/>
  <c r="Z20" i="17" s="1"/>
  <c r="AA20" i="17" s="1"/>
  <c r="N73" i="14" l="1"/>
  <c r="P72" i="14" s="1"/>
  <c r="P69" i="14"/>
  <c r="D14" i="13"/>
  <c r="X40" i="16"/>
  <c r="L54" i="16"/>
  <c r="X54" i="16" s="1"/>
  <c r="Z54" i="16" s="1"/>
  <c r="L45" i="16"/>
  <c r="L54" i="14"/>
  <c r="X54" i="14" s="1"/>
  <c r="Z54" i="14" s="1"/>
  <c r="X40" i="14"/>
  <c r="P53" i="17"/>
  <c r="N53" i="17"/>
  <c r="N55" i="17" s="1"/>
  <c r="N75" i="17"/>
  <c r="X67" i="14"/>
  <c r="P78" i="14"/>
  <c r="X78" i="14" s="1"/>
  <c r="Z77" i="15"/>
  <c r="E78" i="13"/>
  <c r="L51" i="14"/>
  <c r="X49" i="14"/>
  <c r="H73" i="14"/>
  <c r="X16" i="15"/>
  <c r="L40" i="15"/>
  <c r="L33" i="15"/>
  <c r="X33" i="15" s="1"/>
  <c r="Z45" i="2"/>
  <c r="Z7" i="16"/>
  <c r="AA7" i="16" s="1"/>
  <c r="T33" i="16"/>
  <c r="X29" i="16"/>
  <c r="X45" i="14"/>
  <c r="Z12" i="17"/>
  <c r="AA12" i="17" s="1"/>
  <c r="V57" i="15"/>
  <c r="Z57" i="15" s="1"/>
  <c r="J59" i="15"/>
  <c r="J40" i="15"/>
  <c r="V16" i="15"/>
  <c r="Z16" i="15" s="1"/>
  <c r="AA16" i="15" s="1"/>
  <c r="J33" i="15"/>
  <c r="V33" i="15" s="1"/>
  <c r="C34" i="13"/>
  <c r="C48" i="13"/>
  <c r="J53" i="16"/>
  <c r="L53" i="16"/>
  <c r="V40" i="16"/>
  <c r="Z40" i="16" s="1"/>
  <c r="AA40" i="16" s="1"/>
  <c r="J45" i="16"/>
  <c r="R38" i="16"/>
  <c r="V29" i="16"/>
  <c r="Z29" i="16" s="1"/>
  <c r="AA29" i="16" s="1"/>
  <c r="R33" i="16"/>
  <c r="V33" i="16" s="1"/>
  <c r="L59" i="14"/>
  <c r="X57" i="14"/>
  <c r="N49" i="17"/>
  <c r="P49" i="17"/>
  <c r="N45" i="17"/>
  <c r="G13" i="13" s="1"/>
  <c r="P50" i="17"/>
  <c r="X50" i="17" s="1"/>
  <c r="Z50" i="17" s="1"/>
  <c r="P45" i="17"/>
  <c r="X38" i="17"/>
  <c r="X41" i="17"/>
  <c r="L58" i="17"/>
  <c r="N45" i="16"/>
  <c r="F13" i="13" s="1"/>
  <c r="N49" i="16"/>
  <c r="P49" i="16"/>
  <c r="V38" i="16"/>
  <c r="Z38" i="15"/>
  <c r="AA38" i="15" s="1"/>
  <c r="V49" i="15"/>
  <c r="Z49" i="15" s="1"/>
  <c r="J51" i="15"/>
  <c r="V44" i="16"/>
  <c r="N65" i="16"/>
  <c r="P65" i="16"/>
  <c r="Z42" i="17"/>
  <c r="AA42" i="17" s="1"/>
  <c r="P65" i="17"/>
  <c r="N65" i="17"/>
  <c r="V44" i="17"/>
  <c r="V49" i="14"/>
  <c r="J51" i="14"/>
  <c r="N70" i="15"/>
  <c r="X57" i="15"/>
  <c r="L59" i="15"/>
  <c r="V73" i="2"/>
  <c r="V57" i="14"/>
  <c r="Z57" i="14" s="1"/>
  <c r="J59" i="14"/>
  <c r="V67" i="14"/>
  <c r="N78" i="14"/>
  <c r="X44" i="16"/>
  <c r="P66" i="16"/>
  <c r="X66" i="16" s="1"/>
  <c r="Z66" i="16" s="1"/>
  <c r="X66" i="2"/>
  <c r="P77" i="2"/>
  <c r="X77" i="2" s="1"/>
  <c r="Z77" i="2" s="1"/>
  <c r="L14" i="1"/>
  <c r="L15" i="1" s="1"/>
  <c r="L23" i="1" s="1"/>
  <c r="X54" i="2"/>
  <c r="L74" i="2"/>
  <c r="P50" i="16"/>
  <c r="X50" i="16" s="1"/>
  <c r="Z50" i="16" s="1"/>
  <c r="P45" i="16"/>
  <c r="X38" i="16"/>
  <c r="L45" i="14"/>
  <c r="X46" i="14" s="1"/>
  <c r="P66" i="17"/>
  <c r="X66" i="17" s="1"/>
  <c r="Z66" i="17" s="1"/>
  <c r="X44" i="17"/>
  <c r="J59" i="16"/>
  <c r="V57" i="16"/>
  <c r="H75" i="15"/>
  <c r="H79" i="15" s="1"/>
  <c r="H53" i="15"/>
  <c r="H55" i="15" s="1"/>
  <c r="T70" i="14"/>
  <c r="T75" i="14"/>
  <c r="T79" i="14" s="1"/>
  <c r="M14" i="1"/>
  <c r="M15" i="1" s="1"/>
  <c r="M23" i="1" s="1"/>
  <c r="X58" i="2"/>
  <c r="L75" i="2"/>
  <c r="X75" i="2" s="1"/>
  <c r="Z38" i="14"/>
  <c r="AA38" i="14" s="1"/>
  <c r="N57" i="17"/>
  <c r="N59" i="17" s="1"/>
  <c r="N76" i="17" s="1"/>
  <c r="P57" i="17"/>
  <c r="X57" i="17" s="1"/>
  <c r="V70" i="2"/>
  <c r="Z70" i="2" s="1"/>
  <c r="C6" i="13"/>
  <c r="J14" i="1"/>
  <c r="L68" i="2"/>
  <c r="H14" i="1" s="1"/>
  <c r="H15" i="1" s="1"/>
  <c r="H23" i="1" s="1"/>
  <c r="J72" i="2"/>
  <c r="D5" i="13"/>
  <c r="V46" i="14"/>
  <c r="Z46" i="14" s="1"/>
  <c r="Z50" i="2"/>
  <c r="AA50" i="2" s="1"/>
  <c r="X29" i="17"/>
  <c r="T33" i="17"/>
  <c r="X33" i="17" s="1"/>
  <c r="H70" i="16"/>
  <c r="H79" i="16"/>
  <c r="L59" i="16"/>
  <c r="P58" i="17"/>
  <c r="N31" i="1"/>
  <c r="N32" i="1" s="1"/>
  <c r="N44" i="1" s="1"/>
  <c r="P76" i="2"/>
  <c r="X62" i="2"/>
  <c r="Z62" i="2" s="1"/>
  <c r="AA62" i="2" s="1"/>
  <c r="R45" i="15"/>
  <c r="E25" i="13" s="1"/>
  <c r="R49" i="15"/>
  <c r="R51" i="15" s="1"/>
  <c r="R70" i="15" s="1"/>
  <c r="T49" i="15"/>
  <c r="T51" i="15" s="1"/>
  <c r="P55" i="15"/>
  <c r="P75" i="15" s="1"/>
  <c r="P58" i="16"/>
  <c r="V29" i="17"/>
  <c r="Z29" i="17" s="1"/>
  <c r="AA29" i="17" s="1"/>
  <c r="R38" i="17"/>
  <c r="V38" i="17" s="1"/>
  <c r="R33" i="17"/>
  <c r="V33" i="17" s="1"/>
  <c r="L54" i="17"/>
  <c r="X54" i="17" s="1"/>
  <c r="Z54" i="17" s="1"/>
  <c r="X40" i="17"/>
  <c r="L45" i="17"/>
  <c r="X46" i="17" s="1"/>
  <c r="P54" i="17"/>
  <c r="V61" i="17"/>
  <c r="N63" i="17"/>
  <c r="L53" i="17"/>
  <c r="J53" i="17"/>
  <c r="V40" i="17"/>
  <c r="Z40" i="17" s="1"/>
  <c r="AA40" i="17" s="1"/>
  <c r="J45" i="17"/>
  <c r="H74" i="17"/>
  <c r="H45" i="17"/>
  <c r="H49" i="17"/>
  <c r="H51" i="17" s="1"/>
  <c r="Z7" i="17"/>
  <c r="AA7" i="17" s="1"/>
  <c r="H45" i="15"/>
  <c r="P79" i="14"/>
  <c r="X58" i="16"/>
  <c r="Z58" i="16" s="1"/>
  <c r="J59" i="17"/>
  <c r="L72" i="2"/>
  <c r="X70" i="2"/>
  <c r="P63" i="17"/>
  <c r="X61" i="17"/>
  <c r="P72" i="2"/>
  <c r="P71" i="2" s="1"/>
  <c r="P68" i="2"/>
  <c r="V63" i="16"/>
  <c r="Z63" i="16" s="1"/>
  <c r="AA63" i="16" s="1"/>
  <c r="N77" i="16"/>
  <c r="V77" i="16" s="1"/>
  <c r="K32" i="1"/>
  <c r="K44" i="1" s="1"/>
  <c r="K64" i="1" s="1"/>
  <c r="Z56" i="2"/>
  <c r="Z44" i="15"/>
  <c r="AA44" i="15" s="1"/>
  <c r="H72" i="2"/>
  <c r="S71" i="2"/>
  <c r="L59" i="17"/>
  <c r="L76" i="17" s="1"/>
  <c r="P54" i="16"/>
  <c r="N67" i="15"/>
  <c r="V65" i="15"/>
  <c r="V41" i="17"/>
  <c r="V58" i="2"/>
  <c r="J75" i="2"/>
  <c r="V75" i="2" s="1"/>
  <c r="X65" i="15"/>
  <c r="P67" i="15"/>
  <c r="P70" i="15" s="1"/>
  <c r="P73" i="15" s="1"/>
  <c r="V54" i="2"/>
  <c r="Z54" i="2" s="1"/>
  <c r="AA54" i="2" s="1"/>
  <c r="J74" i="2"/>
  <c r="V74" i="2" s="1"/>
  <c r="N53" i="16"/>
  <c r="N55" i="16" s="1"/>
  <c r="N75" i="16" s="1"/>
  <c r="P53" i="16"/>
  <c r="P55" i="16" s="1"/>
  <c r="P75" i="16" s="1"/>
  <c r="N57" i="16"/>
  <c r="N59" i="16" s="1"/>
  <c r="N76" i="16" s="1"/>
  <c r="P57" i="16"/>
  <c r="P59" i="16" s="1"/>
  <c r="P76" i="16" s="1"/>
  <c r="X33" i="16"/>
  <c r="H75" i="17"/>
  <c r="L51" i="15"/>
  <c r="X49" i="15"/>
  <c r="J53" i="14"/>
  <c r="V40" i="14"/>
  <c r="Z40" i="14" s="1"/>
  <c r="AA40" i="14" s="1"/>
  <c r="L53" i="14"/>
  <c r="V45" i="17" l="1"/>
  <c r="Z38" i="17"/>
  <c r="AA38" i="17" s="1"/>
  <c r="G51" i="13"/>
  <c r="Z33" i="17"/>
  <c r="AA33" i="17" s="1"/>
  <c r="Z33" i="16"/>
  <c r="AA33" i="16" s="1"/>
  <c r="F51" i="13"/>
  <c r="V63" i="17"/>
  <c r="Z63" i="17" s="1"/>
  <c r="AA63" i="17" s="1"/>
  <c r="N77" i="17"/>
  <c r="V77" i="17" s="1"/>
  <c r="R74" i="15"/>
  <c r="R79" i="15" s="1"/>
  <c r="V59" i="14"/>
  <c r="J76" i="14"/>
  <c r="V76" i="14" s="1"/>
  <c r="X65" i="17"/>
  <c r="P67" i="17"/>
  <c r="H13" i="13"/>
  <c r="C72" i="13"/>
  <c r="Z75" i="2"/>
  <c r="X59" i="16"/>
  <c r="L76" i="16"/>
  <c r="X76" i="16" s="1"/>
  <c r="Z38" i="16"/>
  <c r="AA38" i="16" s="1"/>
  <c r="V45" i="16"/>
  <c r="D41" i="13"/>
  <c r="H73" i="16"/>
  <c r="X45" i="16"/>
  <c r="Z65" i="15"/>
  <c r="Z61" i="17"/>
  <c r="T70" i="15"/>
  <c r="T73" i="15" s="1"/>
  <c r="T74" i="15"/>
  <c r="T79" i="15" s="1"/>
  <c r="M64" i="1"/>
  <c r="M66" i="1" s="1"/>
  <c r="X58" i="17"/>
  <c r="Z58" i="17" s="1"/>
  <c r="R45" i="16"/>
  <c r="F25" i="13" s="1"/>
  <c r="R49" i="16"/>
  <c r="R51" i="16" s="1"/>
  <c r="R70" i="16" s="1"/>
  <c r="R74" i="16"/>
  <c r="R79" i="16" s="1"/>
  <c r="T49" i="16"/>
  <c r="T51" i="16" s="1"/>
  <c r="L55" i="14"/>
  <c r="X53" i="14"/>
  <c r="V46" i="16"/>
  <c r="Z46" i="16" s="1"/>
  <c r="F5" i="13"/>
  <c r="O71" i="2"/>
  <c r="E14" i="13"/>
  <c r="E41" i="13" s="1"/>
  <c r="N73" i="15"/>
  <c r="P72" i="15" s="1"/>
  <c r="P69" i="15"/>
  <c r="L55" i="17"/>
  <c r="X53" i="17"/>
  <c r="Z67" i="14"/>
  <c r="V67" i="15"/>
  <c r="N78" i="15"/>
  <c r="T69" i="15"/>
  <c r="E26" i="13"/>
  <c r="R73" i="15"/>
  <c r="X74" i="2"/>
  <c r="L78" i="2"/>
  <c r="J78" i="2"/>
  <c r="V78" i="2" s="1"/>
  <c r="P67" i="16"/>
  <c r="X65" i="16"/>
  <c r="N51" i="16"/>
  <c r="V49" i="16"/>
  <c r="Z49" i="16" s="1"/>
  <c r="D48" i="13"/>
  <c r="Z73" i="2"/>
  <c r="C85" i="13"/>
  <c r="N67" i="16"/>
  <c r="V65" i="16"/>
  <c r="Z65" i="16" s="1"/>
  <c r="X45" i="17"/>
  <c r="L55" i="16"/>
  <c r="X53" i="16"/>
  <c r="P55" i="17"/>
  <c r="P75" i="17" s="1"/>
  <c r="N67" i="17"/>
  <c r="V65" i="17"/>
  <c r="Z65" i="17" s="1"/>
  <c r="P31" i="1"/>
  <c r="P32" i="1" s="1"/>
  <c r="P44" i="1" s="1"/>
  <c r="H70" i="17"/>
  <c r="V72" i="2"/>
  <c r="L71" i="2"/>
  <c r="T73" i="14"/>
  <c r="T72" i="14" s="1"/>
  <c r="T69" i="14"/>
  <c r="L64" i="1"/>
  <c r="L66" i="1" s="1"/>
  <c r="X59" i="15"/>
  <c r="L76" i="15"/>
  <c r="X76" i="15" s="1"/>
  <c r="Z44" i="16"/>
  <c r="AA44" i="16" s="1"/>
  <c r="J55" i="16"/>
  <c r="V53" i="16"/>
  <c r="Z53" i="16" s="1"/>
  <c r="V59" i="17"/>
  <c r="J76" i="17"/>
  <c r="V76" i="17" s="1"/>
  <c r="F78" i="13"/>
  <c r="F60" i="13" s="1"/>
  <c r="Z77" i="16"/>
  <c r="X76" i="2"/>
  <c r="Z76" i="2" s="1"/>
  <c r="P78" i="2"/>
  <c r="Z74" i="2"/>
  <c r="C66" i="13"/>
  <c r="H79" i="17"/>
  <c r="N64" i="1"/>
  <c r="N66" i="1"/>
  <c r="P14" i="1"/>
  <c r="P15" i="1" s="1"/>
  <c r="P23" i="1" s="1"/>
  <c r="J15" i="1"/>
  <c r="J23" i="1" s="1"/>
  <c r="H31" i="1"/>
  <c r="H32" i="1" s="1"/>
  <c r="H44" i="1" s="1"/>
  <c r="Z68" i="2"/>
  <c r="C49" i="13"/>
  <c r="X69" i="2"/>
  <c r="Z66" i="2"/>
  <c r="V51" i="15"/>
  <c r="Z51" i="15" s="1"/>
  <c r="AA51" i="15" s="1"/>
  <c r="J74" i="15"/>
  <c r="C40" i="13"/>
  <c r="C43" i="13" s="1"/>
  <c r="L54" i="15"/>
  <c r="X54" i="15" s="1"/>
  <c r="Z54" i="15" s="1"/>
  <c r="X40" i="15"/>
  <c r="X45" i="15" s="1"/>
  <c r="L45" i="15"/>
  <c r="X46" i="15" s="1"/>
  <c r="X46" i="16"/>
  <c r="X67" i="15"/>
  <c r="P78" i="15"/>
  <c r="X78" i="15" s="1"/>
  <c r="C56" i="13"/>
  <c r="K66" i="1"/>
  <c r="P59" i="17"/>
  <c r="P76" i="17" s="1"/>
  <c r="X76" i="17" s="1"/>
  <c r="V59" i="16"/>
  <c r="Z59" i="16" s="1"/>
  <c r="AA59" i="16" s="1"/>
  <c r="J76" i="16"/>
  <c r="V76" i="16" s="1"/>
  <c r="V51" i="14"/>
  <c r="Z51" i="14" s="1"/>
  <c r="AA51" i="14" s="1"/>
  <c r="J70" i="14"/>
  <c r="J74" i="14"/>
  <c r="P51" i="17"/>
  <c r="V53" i="14"/>
  <c r="J55" i="14"/>
  <c r="X63" i="17"/>
  <c r="P77" i="17"/>
  <c r="X77" i="17" s="1"/>
  <c r="G5" i="13"/>
  <c r="T49" i="17"/>
  <c r="T51" i="17" s="1"/>
  <c r="R49" i="17"/>
  <c r="R51" i="17" s="1"/>
  <c r="R70" i="17" s="1"/>
  <c r="R45" i="17"/>
  <c r="G25" i="13" s="1"/>
  <c r="H25" i="13" s="1"/>
  <c r="X57" i="16"/>
  <c r="Z57" i="16" s="1"/>
  <c r="Z49" i="14"/>
  <c r="N51" i="17"/>
  <c r="E51" i="13"/>
  <c r="Z33" i="15"/>
  <c r="AA33" i="15" s="1"/>
  <c r="Z58" i="2"/>
  <c r="AA58" i="2" s="1"/>
  <c r="V69" i="2"/>
  <c r="C52" i="13" s="1"/>
  <c r="X72" i="2"/>
  <c r="J55" i="17"/>
  <c r="V53" i="17"/>
  <c r="Z53" i="17" s="1"/>
  <c r="V45" i="14"/>
  <c r="Z45" i="14" s="1"/>
  <c r="AA45" i="14" s="1"/>
  <c r="P51" i="16"/>
  <c r="X49" i="16"/>
  <c r="J53" i="15"/>
  <c r="L53" i="15"/>
  <c r="V40" i="15"/>
  <c r="J45" i="15"/>
  <c r="X51" i="14"/>
  <c r="L74" i="14"/>
  <c r="X51" i="15"/>
  <c r="L74" i="15"/>
  <c r="Z41" i="17"/>
  <c r="AA41" i="17" s="1"/>
  <c r="H70" i="15"/>
  <c r="V57" i="17"/>
  <c r="Z57" i="17" s="1"/>
  <c r="V78" i="14"/>
  <c r="N79" i="14"/>
  <c r="Z44" i="17"/>
  <c r="AA44" i="17" s="1"/>
  <c r="X59" i="14"/>
  <c r="L76" i="14"/>
  <c r="X76" i="14" s="1"/>
  <c r="V59" i="15"/>
  <c r="Z59" i="15" s="1"/>
  <c r="AA59" i="15" s="1"/>
  <c r="J76" i="15"/>
  <c r="V76" i="15" s="1"/>
  <c r="E60" i="13"/>
  <c r="V67" i="16" l="1"/>
  <c r="N78" i="16"/>
  <c r="V78" i="16" s="1"/>
  <c r="H73" i="15"/>
  <c r="C53" i="13"/>
  <c r="C88" i="13" s="1"/>
  <c r="X67" i="16"/>
  <c r="P78" i="16"/>
  <c r="X78" i="16" s="1"/>
  <c r="X55" i="14"/>
  <c r="X70" i="14" s="1"/>
  <c r="L75" i="14"/>
  <c r="X75" i="14" s="1"/>
  <c r="X49" i="17"/>
  <c r="V67" i="17"/>
  <c r="N78" i="17"/>
  <c r="V78" i="17" s="1"/>
  <c r="X67" i="17"/>
  <c r="P78" i="17"/>
  <c r="X78" i="17" s="1"/>
  <c r="D80" i="13"/>
  <c r="Z78" i="14"/>
  <c r="H51" i="13"/>
  <c r="V46" i="15"/>
  <c r="Z46" i="15" s="1"/>
  <c r="E5" i="13"/>
  <c r="N70" i="17"/>
  <c r="V51" i="17"/>
  <c r="Z51" i="17" s="1"/>
  <c r="AA51" i="17" s="1"/>
  <c r="N74" i="17"/>
  <c r="P70" i="17"/>
  <c r="P73" i="17" s="1"/>
  <c r="X51" i="17"/>
  <c r="P74" i="17"/>
  <c r="X78" i="2"/>
  <c r="Z78" i="2" s="1"/>
  <c r="R74" i="17"/>
  <c r="R79" i="17" s="1"/>
  <c r="G48" i="13"/>
  <c r="V78" i="15"/>
  <c r="N79" i="15"/>
  <c r="J79" i="14"/>
  <c r="V79" i="14" s="1"/>
  <c r="Z79" i="14" s="1"/>
  <c r="V74" i="14"/>
  <c r="J70" i="16"/>
  <c r="V55" i="16"/>
  <c r="Z55" i="16" s="1"/>
  <c r="AA55" i="16" s="1"/>
  <c r="J75" i="16"/>
  <c r="D72" i="13"/>
  <c r="D74" i="13" s="1"/>
  <c r="D76" i="13" s="1"/>
  <c r="D59" i="13" s="1"/>
  <c r="Z76" i="14"/>
  <c r="H73" i="17"/>
  <c r="L70" i="14"/>
  <c r="V49" i="17"/>
  <c r="Z49" i="17" s="1"/>
  <c r="E72" i="13"/>
  <c r="E74" i="13" s="1"/>
  <c r="E76" i="13" s="1"/>
  <c r="E59" i="13" s="1"/>
  <c r="Z76" i="15"/>
  <c r="Z40" i="15"/>
  <c r="AA40" i="15" s="1"/>
  <c r="V45" i="15"/>
  <c r="Z45" i="15" s="1"/>
  <c r="AA45" i="15" s="1"/>
  <c r="J73" i="14"/>
  <c r="L69" i="14"/>
  <c r="Z69" i="14" s="1"/>
  <c r="V71" i="14"/>
  <c r="D6" i="13"/>
  <c r="X59" i="17"/>
  <c r="Z59" i="17" s="1"/>
  <c r="AA59" i="17" s="1"/>
  <c r="X55" i="16"/>
  <c r="L70" i="16"/>
  <c r="L75" i="16"/>
  <c r="F48" i="13"/>
  <c r="Z59" i="14"/>
  <c r="AA59" i="14" s="1"/>
  <c r="L55" i="15"/>
  <c r="X53" i="15"/>
  <c r="G42" i="13"/>
  <c r="V74" i="15"/>
  <c r="C86" i="13"/>
  <c r="C68" i="13"/>
  <c r="C70" i="13" s="1"/>
  <c r="C58" i="13" s="1"/>
  <c r="E42" i="13"/>
  <c r="G26" i="13"/>
  <c r="R73" i="17"/>
  <c r="Z76" i="16"/>
  <c r="F72" i="13"/>
  <c r="F74" i="13" s="1"/>
  <c r="F76" i="13" s="1"/>
  <c r="F59" i="13" s="1"/>
  <c r="T72" i="15"/>
  <c r="G78" i="13"/>
  <c r="Z77" i="17"/>
  <c r="V53" i="15"/>
  <c r="J55" i="15"/>
  <c r="P70" i="16"/>
  <c r="P73" i="16" s="1"/>
  <c r="X51" i="16"/>
  <c r="P74" i="16"/>
  <c r="T74" i="17"/>
  <c r="T79" i="17" s="1"/>
  <c r="T70" i="17"/>
  <c r="T73" i="17" s="1"/>
  <c r="Z69" i="2"/>
  <c r="AA69" i="2" s="1"/>
  <c r="AA66" i="2"/>
  <c r="V46" i="17"/>
  <c r="Z46" i="17" s="1"/>
  <c r="T74" i="16"/>
  <c r="T79" i="16" s="1"/>
  <c r="T70" i="16"/>
  <c r="T73" i="16" s="1"/>
  <c r="Z45" i="16"/>
  <c r="AA45" i="16" s="1"/>
  <c r="V55" i="17"/>
  <c r="Z55" i="17" s="1"/>
  <c r="AA55" i="17" s="1"/>
  <c r="J70" i="17"/>
  <c r="J75" i="17"/>
  <c r="C62" i="13"/>
  <c r="C63" i="13" s="1"/>
  <c r="C35" i="13" s="1"/>
  <c r="K71" i="2"/>
  <c r="Z71" i="2"/>
  <c r="Z67" i="15"/>
  <c r="F26" i="13"/>
  <c r="H26" i="13" s="1"/>
  <c r="H42" i="13" s="1"/>
  <c r="R73" i="16"/>
  <c r="T72" i="16" s="1"/>
  <c r="T69" i="16"/>
  <c r="X74" i="15"/>
  <c r="Z72" i="2"/>
  <c r="AA72" i="2" s="1"/>
  <c r="Z70" i="14"/>
  <c r="AA70" i="14" s="1"/>
  <c r="AA67" i="14"/>
  <c r="F42" i="13"/>
  <c r="P79" i="15"/>
  <c r="C74" i="13"/>
  <c r="C76" i="13" s="1"/>
  <c r="C59" i="13" s="1"/>
  <c r="Z45" i="17"/>
  <c r="AA45" i="17" s="1"/>
  <c r="V55" i="14"/>
  <c r="Z55" i="14" s="1"/>
  <c r="AA55" i="14" s="1"/>
  <c r="J75" i="14"/>
  <c r="V75" i="14" s="1"/>
  <c r="N70" i="16"/>
  <c r="V51" i="16"/>
  <c r="N74" i="16"/>
  <c r="X74" i="14"/>
  <c r="L79" i="14"/>
  <c r="X79" i="14" s="1"/>
  <c r="Z53" i="14"/>
  <c r="Z76" i="17"/>
  <c r="G72" i="13"/>
  <c r="G74" i="13" s="1"/>
  <c r="G76" i="13" s="1"/>
  <c r="G59" i="13" s="1"/>
  <c r="X55" i="17"/>
  <c r="L70" i="17"/>
  <c r="L75" i="17"/>
  <c r="F6" i="13" l="1"/>
  <c r="V71" i="16"/>
  <c r="J73" i="16"/>
  <c r="L69" i="16"/>
  <c r="P69" i="17"/>
  <c r="G14" i="13"/>
  <c r="G41" i="13" s="1"/>
  <c r="N73" i="17"/>
  <c r="P72" i="17" s="1"/>
  <c r="D49" i="13"/>
  <c r="D34" i="13"/>
  <c r="D40" i="13"/>
  <c r="D43" i="13" s="1"/>
  <c r="J73" i="17"/>
  <c r="G6" i="13"/>
  <c r="L69" i="17"/>
  <c r="V71" i="17"/>
  <c r="Z71" i="17" s="1"/>
  <c r="P79" i="16"/>
  <c r="X74" i="16"/>
  <c r="D85" i="13"/>
  <c r="Z74" i="14"/>
  <c r="E48" i="13"/>
  <c r="H48" i="13" s="1"/>
  <c r="H5" i="13"/>
  <c r="Z74" i="15"/>
  <c r="E85" i="13"/>
  <c r="V73" i="14"/>
  <c r="X70" i="16"/>
  <c r="V55" i="15"/>
  <c r="J70" i="15"/>
  <c r="J75" i="15"/>
  <c r="J64" i="1"/>
  <c r="C36" i="13"/>
  <c r="Z53" i="15"/>
  <c r="E80" i="13"/>
  <c r="E82" i="13" s="1"/>
  <c r="E61" i="13" s="1"/>
  <c r="Z78" i="15"/>
  <c r="Z51" i="16"/>
  <c r="AA51" i="16" s="1"/>
  <c r="X55" i="15"/>
  <c r="X70" i="15" s="1"/>
  <c r="L70" i="15"/>
  <c r="L75" i="15"/>
  <c r="D82" i="13"/>
  <c r="D61" i="13" s="1"/>
  <c r="H61" i="13" s="1"/>
  <c r="H80" i="13"/>
  <c r="H82" i="13" s="1"/>
  <c r="I82" i="13" s="1"/>
  <c r="L73" i="14"/>
  <c r="X73" i="14" s="1"/>
  <c r="X71" i="14"/>
  <c r="Z71" i="14" s="1"/>
  <c r="X70" i="17"/>
  <c r="F80" i="13"/>
  <c r="F82" i="13" s="1"/>
  <c r="F61" i="13" s="1"/>
  <c r="Z78" i="16"/>
  <c r="V70" i="14"/>
  <c r="D52" i="13" s="1"/>
  <c r="P79" i="17"/>
  <c r="X74" i="17"/>
  <c r="Z67" i="16"/>
  <c r="V70" i="16"/>
  <c r="F52" i="13" s="1"/>
  <c r="F53" i="13" s="1"/>
  <c r="F88" i="13" s="1"/>
  <c r="V75" i="17"/>
  <c r="J79" i="17"/>
  <c r="G60" i="13"/>
  <c r="H60" i="13" s="1"/>
  <c r="H78" i="13"/>
  <c r="I78" i="13" s="1"/>
  <c r="D66" i="13"/>
  <c r="Z75" i="14"/>
  <c r="C87" i="13"/>
  <c r="C89" i="13" s="1"/>
  <c r="T72" i="17"/>
  <c r="X75" i="16"/>
  <c r="L79" i="16"/>
  <c r="G80" i="13"/>
  <c r="G82" i="13" s="1"/>
  <c r="G61" i="13" s="1"/>
  <c r="Z78" i="17"/>
  <c r="V74" i="16"/>
  <c r="N79" i="16"/>
  <c r="N73" i="16"/>
  <c r="P72" i="16" s="1"/>
  <c r="F14" i="13"/>
  <c r="P69" i="16"/>
  <c r="Z69" i="16" s="1"/>
  <c r="AA67" i="15"/>
  <c r="T69" i="17"/>
  <c r="Z69" i="17" s="1"/>
  <c r="L73" i="16"/>
  <c r="X73" i="16" s="1"/>
  <c r="X71" i="16"/>
  <c r="Z67" i="17"/>
  <c r="V70" i="17"/>
  <c r="G52" i="13" s="1"/>
  <c r="G53" i="13" s="1"/>
  <c r="G88" i="13" s="1"/>
  <c r="X75" i="17"/>
  <c r="L79" i="17"/>
  <c r="X79" i="17" s="1"/>
  <c r="L73" i="17"/>
  <c r="X73" i="17" s="1"/>
  <c r="X71" i="17"/>
  <c r="H72" i="13"/>
  <c r="H74" i="13" s="1"/>
  <c r="H76" i="13" s="1"/>
  <c r="I76" i="13" s="1"/>
  <c r="H59" i="13"/>
  <c r="V75" i="16"/>
  <c r="J79" i="16"/>
  <c r="N79" i="17"/>
  <c r="V74" i="17"/>
  <c r="G85" i="13" l="1"/>
  <c r="Z74" i="17"/>
  <c r="V79" i="16"/>
  <c r="G49" i="13"/>
  <c r="G40" i="13"/>
  <c r="G43" i="13" s="1"/>
  <c r="G34" i="13"/>
  <c r="X75" i="15"/>
  <c r="L79" i="15"/>
  <c r="X79" i="15" s="1"/>
  <c r="L72" i="14"/>
  <c r="Z72" i="14" s="1"/>
  <c r="V73" i="17"/>
  <c r="Z73" i="17" s="1"/>
  <c r="AA73" i="17" s="1"/>
  <c r="L72" i="17"/>
  <c r="Z72" i="17" s="1"/>
  <c r="L73" i="15"/>
  <c r="X73" i="15" s="1"/>
  <c r="X71" i="15"/>
  <c r="D68" i="13"/>
  <c r="D70" i="13" s="1"/>
  <c r="D58" i="13" s="1"/>
  <c r="D86" i="13"/>
  <c r="D56" i="13"/>
  <c r="Z55" i="15"/>
  <c r="V70" i="15"/>
  <c r="E52" i="13" s="1"/>
  <c r="E53" i="13" s="1"/>
  <c r="E88" i="13" s="1"/>
  <c r="Z73" i="14"/>
  <c r="AA73" i="14" s="1"/>
  <c r="Z70" i="16"/>
  <c r="AA70" i="16" s="1"/>
  <c r="AA67" i="16"/>
  <c r="H14" i="13"/>
  <c r="H41" i="13" s="1"/>
  <c r="F41" i="13"/>
  <c r="F85" i="13"/>
  <c r="Z74" i="16"/>
  <c r="D53" i="13"/>
  <c r="D88" i="13" s="1"/>
  <c r="Z70" i="17"/>
  <c r="AA70" i="17" s="1"/>
  <c r="AA67" i="17"/>
  <c r="P64" i="1"/>
  <c r="J66" i="1"/>
  <c r="V73" i="16"/>
  <c r="Z73" i="16" s="1"/>
  <c r="AA73" i="16" s="1"/>
  <c r="L72" i="16"/>
  <c r="Z72" i="16" s="1"/>
  <c r="Z75" i="16"/>
  <c r="F66" i="13"/>
  <c r="V79" i="17"/>
  <c r="Z79" i="17" s="1"/>
  <c r="G66" i="13"/>
  <c r="Z75" i="17"/>
  <c r="V75" i="15"/>
  <c r="J79" i="15"/>
  <c r="V79" i="15" s="1"/>
  <c r="Z71" i="16"/>
  <c r="X79" i="16"/>
  <c r="E6" i="13"/>
  <c r="J73" i="15"/>
  <c r="L69" i="15"/>
  <c r="Z69" i="15" s="1"/>
  <c r="V71" i="15"/>
  <c r="F49" i="13"/>
  <c r="F34" i="13"/>
  <c r="F40" i="13"/>
  <c r="E66" i="13" l="1"/>
  <c r="Z75" i="15"/>
  <c r="G68" i="13"/>
  <c r="G70" i="13" s="1"/>
  <c r="G58" i="13" s="1"/>
  <c r="G86" i="13"/>
  <c r="F56" i="13"/>
  <c r="Z71" i="15"/>
  <c r="L72" i="15"/>
  <c r="Z72" i="15" s="1"/>
  <c r="V73" i="15"/>
  <c r="Z73" i="15" s="1"/>
  <c r="AA73" i="15" s="1"/>
  <c r="F68" i="13"/>
  <c r="F70" i="13" s="1"/>
  <c r="F58" i="13" s="1"/>
  <c r="F86" i="13"/>
  <c r="F87" i="13" s="1"/>
  <c r="F89" i="13" s="1"/>
  <c r="F43" i="13"/>
  <c r="AA55" i="15"/>
  <c r="Z70" i="15"/>
  <c r="AA70" i="15" s="1"/>
  <c r="G56" i="13"/>
  <c r="H64" i="1"/>
  <c r="H66" i="1" s="1"/>
  <c r="P66" i="1"/>
  <c r="D62" i="13"/>
  <c r="D63" i="13" s="1"/>
  <c r="D35" i="13" s="1"/>
  <c r="E49" i="13"/>
  <c r="H49" i="13" s="1"/>
  <c r="E40" i="13"/>
  <c r="E43" i="13" s="1"/>
  <c r="E34" i="13"/>
  <c r="H6" i="13"/>
  <c r="H85" i="13"/>
  <c r="Z79" i="16"/>
  <c r="D87" i="13"/>
  <c r="D89" i="13" s="1"/>
  <c r="Z79" i="15"/>
  <c r="H52" i="13"/>
  <c r="H53" i="13" s="1"/>
  <c r="H88" i="13" s="1"/>
  <c r="G87" i="13"/>
  <c r="G89" i="13" s="1"/>
  <c r="F62" i="13" l="1"/>
  <c r="F63" i="13" s="1"/>
  <c r="F35" i="13" s="1"/>
  <c r="F36" i="13" s="1"/>
  <c r="D36" i="13"/>
  <c r="G62" i="13"/>
  <c r="G63" i="13" s="1"/>
  <c r="G35" i="13" s="1"/>
  <c r="G36" i="13" s="1"/>
  <c r="H34" i="13"/>
  <c r="H40" i="13"/>
  <c r="H43" i="13" s="1"/>
  <c r="E56" i="13"/>
  <c r="H70" i="1"/>
  <c r="H68" i="1"/>
  <c r="H69" i="1"/>
  <c r="E68" i="13"/>
  <c r="E70" i="13" s="1"/>
  <c r="E58" i="13" s="1"/>
  <c r="H58" i="13" s="1"/>
  <c r="E86" i="13"/>
  <c r="H66" i="13"/>
  <c r="H68" i="13" s="1"/>
  <c r="H70" i="13" s="1"/>
  <c r="I70" i="13" s="1"/>
  <c r="E87" i="13" l="1"/>
  <c r="E89" i="13" s="1"/>
  <c r="H86" i="13"/>
  <c r="H87" i="13" s="1"/>
  <c r="H89" i="13" s="1"/>
  <c r="H56" i="13"/>
  <c r="H62" i="13" s="1"/>
  <c r="H63" i="13" s="1"/>
  <c r="H71" i="1"/>
  <c r="E62" i="13"/>
  <c r="E63" i="13" s="1"/>
  <c r="E35" i="13" s="1"/>
  <c r="H35" i="13" l="1"/>
  <c r="H36" i="13" s="1"/>
  <c r="H38" i="13" s="1"/>
  <c r="E3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cluttrell</author>
  </authors>
  <commentList>
    <comment ref="G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calculated mo salary based on:
7 hrs/day * $25/day *165 days
NO FRINGES
</t>
        </r>
      </text>
    </comment>
  </commentList>
</comments>
</file>

<file path=xl/sharedStrings.xml><?xml version="1.0" encoding="utf-8"?>
<sst xmlns="http://schemas.openxmlformats.org/spreadsheetml/2006/main" count="2060" uniqueCount="435">
  <si>
    <t>AGENCIES</t>
  </si>
  <si>
    <t>SIU</t>
  </si>
  <si>
    <t>Southern Illinois University School of Medicine</t>
  </si>
  <si>
    <t>FCM</t>
  </si>
  <si>
    <t>Family &amp; Community Medicine</t>
  </si>
  <si>
    <t>CCR</t>
  </si>
  <si>
    <t>Center for Clinical Research</t>
  </si>
  <si>
    <t>TWI</t>
  </si>
  <si>
    <t>Transitions of Western Illinois</t>
  </si>
  <si>
    <t>SEA</t>
  </si>
  <si>
    <t>Special Education Association, Quincy Public Schools #172</t>
  </si>
  <si>
    <t>BPS</t>
  </si>
  <si>
    <t>Blessing Physician Services</t>
  </si>
  <si>
    <t>QMG</t>
  </si>
  <si>
    <t>Quincy Medical Group</t>
  </si>
  <si>
    <t>STAFFING CATEGORIES</t>
  </si>
  <si>
    <t>LA</t>
  </si>
  <si>
    <t>LEAD AGENCY(IES)</t>
  </si>
  <si>
    <t>PM</t>
  </si>
  <si>
    <t>Project Manager</t>
  </si>
  <si>
    <t>OPS</t>
  </si>
  <si>
    <t>Other project staff</t>
  </si>
  <si>
    <t>C</t>
  </si>
  <si>
    <t>Consultants</t>
  </si>
  <si>
    <t>AS</t>
  </si>
  <si>
    <t>Administrative Staff</t>
  </si>
  <si>
    <t>MHP</t>
  </si>
  <si>
    <t>Mental Health Professionals</t>
  </si>
  <si>
    <t>CC</t>
  </si>
  <si>
    <t>Case Coordination</t>
  </si>
  <si>
    <t>OP</t>
  </si>
  <si>
    <t>Other Personnel / Purchased Services</t>
  </si>
  <si>
    <t>E</t>
  </si>
  <si>
    <t>Evaluator(s)</t>
  </si>
  <si>
    <t>DM</t>
  </si>
  <si>
    <t>Data Manager</t>
  </si>
  <si>
    <t>Sep1 11-Dec31 12</t>
  </si>
  <si>
    <t>Jan1-Dec31 2013</t>
  </si>
  <si>
    <t>Jan1-Dec31 2014</t>
  </si>
  <si>
    <t>Jan1-Dec31 2015</t>
  </si>
  <si>
    <t>Jan1-Dec31 2016</t>
  </si>
  <si>
    <t>16 mo</t>
  </si>
  <si>
    <t>12 mo</t>
  </si>
  <si>
    <t>ILCHF GRANT FUNDING ONLY</t>
  </si>
  <si>
    <t>YR 1</t>
  </si>
  <si>
    <t>YR 2</t>
  </si>
  <si>
    <t xml:space="preserve">YR 3 </t>
  </si>
  <si>
    <t>YR 4</t>
  </si>
  <si>
    <t>YR 5</t>
  </si>
  <si>
    <t>TOTAL</t>
  </si>
  <si>
    <t>ORGANIZATION/LEADERSHIP</t>
  </si>
  <si>
    <t>TOTAL SALARY</t>
  </si>
  <si>
    <t>TOTAL FRINGES</t>
  </si>
  <si>
    <t>Office operations/equipment</t>
  </si>
  <si>
    <t>Meetings, Conference, Travel</t>
  </si>
  <si>
    <t>Marketing/Communications</t>
  </si>
  <si>
    <t>Other Expenses</t>
  </si>
  <si>
    <t>DIRECT SERVICES</t>
  </si>
  <si>
    <t>Office Operations/Equipment</t>
  </si>
  <si>
    <t>Communications/Marketing</t>
  </si>
  <si>
    <t>Training Community</t>
  </si>
  <si>
    <t>Training Learning Collaborative</t>
  </si>
  <si>
    <t>Training NTI</t>
  </si>
  <si>
    <t>Direct Costs Fee for Service</t>
  </si>
  <si>
    <t>EVALUATION / MONITORING</t>
  </si>
  <si>
    <t>Meeting, Conference, Travel</t>
  </si>
  <si>
    <t>Survey, Data Collection *(CC)</t>
  </si>
  <si>
    <t>Focus Groups/Interviews</t>
  </si>
  <si>
    <t>IRB</t>
  </si>
  <si>
    <t>Other</t>
  </si>
  <si>
    <t>ILCHF REQUEST - DIRECT COSTS</t>
  </si>
  <si>
    <r>
      <t>10% INDIRECT COSTS -</t>
    </r>
    <r>
      <rPr>
        <b/>
        <sz val="9"/>
        <color indexed="36"/>
        <rFont val="Calibri"/>
        <family val="2"/>
      </rPr>
      <t>See Pg2</t>
    </r>
  </si>
  <si>
    <t>TOTAL GRANT REQUEST</t>
  </si>
  <si>
    <t>MAX REQUEST</t>
  </si>
  <si>
    <t>Will be allocated - have to round salary &amp; fringes up/down to nearest $100</t>
  </si>
  <si>
    <t>Over / (Under)</t>
  </si>
  <si>
    <t>DIRECT COSTS ONLY</t>
  </si>
  <si>
    <t>Page 2</t>
  </si>
  <si>
    <t>Total Salary Check This Page</t>
  </si>
  <si>
    <t>Total Fringe Check This Page</t>
  </si>
  <si>
    <t>Total Salary Check worksheets</t>
  </si>
  <si>
    <t>Total Fringe check worksheets</t>
  </si>
  <si>
    <t>TOTAL PERSONNEL</t>
  </si>
  <si>
    <t>INDIRECT COST CALCULATIONS - Based on MODIFIED TOTAL DIRECT COST (MTDC)</t>
  </si>
  <si>
    <t>TOTAL DIRECT COSTS</t>
  </si>
  <si>
    <t>Less Equipment</t>
  </si>
  <si>
    <t>Less Subcontract &gt; first $25K</t>
  </si>
  <si>
    <t>SUBTOTAL MTDC</t>
  </si>
  <si>
    <t>10% MAX INDIRECT COSTS</t>
  </si>
  <si>
    <t>TOTAL SUBCONTRACT ESTIMATES</t>
  </si>
  <si>
    <t>SALARY &amp; FRINGES</t>
  </si>
  <si>
    <t>*</t>
  </si>
  <si>
    <t>OTHER EXPENSES</t>
  </si>
  <si>
    <t>TOTAL DIRECT COSTS - EST</t>
  </si>
  <si>
    <t>INDIRECTS</t>
  </si>
  <si>
    <t>SUBCONTRACT ESTIMATE</t>
  </si>
  <si>
    <t>SALARY &amp; FRINGES ONLY</t>
  </si>
  <si>
    <t>TOTAL SALARY &amp; FRINGES</t>
  </si>
  <si>
    <t xml:space="preserve">TOTAL SALARY &amp; FRINGES </t>
  </si>
  <si>
    <t>CHECK TOTALS SALARY &amp; FRINGE</t>
  </si>
  <si>
    <t xml:space="preserve">TOTAL STAFFING WORKSHEET -  IMPLEMENTATION </t>
  </si>
  <si>
    <t>16 MONTHS</t>
  </si>
  <si>
    <t>YEAR 01</t>
  </si>
  <si>
    <t>09/01/2011-12/31/2012</t>
  </si>
  <si>
    <t>TOTAL PROJECT STAFFING</t>
  </si>
  <si>
    <t>ORG &amp; LEADERSHIP COSTS</t>
  </si>
  <si>
    <t>DIRECT SERVICE EXPENSES</t>
  </si>
  <si>
    <t>EVALUATION &amp; MONITORING</t>
  </si>
  <si>
    <t>TOTALS CHECK TO TOTAL PROJECT-YEAR 01</t>
  </si>
  <si>
    <t>@ 09.11</t>
  </si>
  <si>
    <t>ILCHF SUPPORT</t>
  </si>
  <si>
    <t>IN KIND SUPPORT</t>
  </si>
  <si>
    <t>TOTAL PROJECT</t>
  </si>
  <si>
    <t>LOGIC</t>
  </si>
  <si>
    <t>Entity</t>
  </si>
  <si>
    <t>CAT</t>
  </si>
  <si>
    <t>Name</t>
  </si>
  <si>
    <t>Grant Function</t>
  </si>
  <si>
    <t>FTE</t>
  </si>
  <si>
    <t># MO</t>
  </si>
  <si>
    <t>100% mo</t>
  </si>
  <si>
    <t xml:space="preserve">SAL TOTAL </t>
  </si>
  <si>
    <t>SAL TOTAL</t>
  </si>
  <si>
    <t>TEST$</t>
  </si>
  <si>
    <t>Longlett, Shirley</t>
  </si>
  <si>
    <t>PI - Exec Leadership</t>
  </si>
  <si>
    <t>Schmitz, Mark</t>
  </si>
  <si>
    <t>Exec Leadership</t>
  </si>
  <si>
    <t>Beswick, Eryn</t>
  </si>
  <si>
    <t>Vahle, Cindy</t>
  </si>
  <si>
    <t>Project Mgr</t>
  </si>
  <si>
    <t>Beardon, Sharon</t>
  </si>
  <si>
    <t>MHN Coordinator</t>
  </si>
  <si>
    <t>TBH, BA/LPN</t>
  </si>
  <si>
    <t>Asst MHN Coordinator</t>
  </si>
  <si>
    <t>TBH, MHP</t>
  </si>
  <si>
    <t>Social-Emotional Coach</t>
  </si>
  <si>
    <t>Hughes, Diane</t>
  </si>
  <si>
    <t>PC MH Coordinator</t>
  </si>
  <si>
    <t>Melton, Stacey</t>
  </si>
  <si>
    <t>PC BH Integration</t>
  </si>
  <si>
    <t>Shaffer, Heidi</t>
  </si>
  <si>
    <t>Clerical, LA Support</t>
  </si>
  <si>
    <t>Freel</t>
  </si>
  <si>
    <t>Wiemelt</t>
  </si>
  <si>
    <t>TBH/TBN</t>
  </si>
  <si>
    <t>LCSW/LCPC</t>
  </si>
  <si>
    <t>Patel, Jessica</t>
  </si>
  <si>
    <t>Clinical Psychologist</t>
  </si>
  <si>
    <t>LPN</t>
  </si>
  <si>
    <t>Parker,Chris</t>
  </si>
  <si>
    <t>SW, Team Assessment</t>
  </si>
  <si>
    <t>TBH</t>
  </si>
  <si>
    <t>Doctoral student</t>
  </si>
  <si>
    <t>Jenkins, Wiley</t>
  </si>
  <si>
    <t>Evaluator, PhD (FCM)</t>
  </si>
  <si>
    <t>Verhulst, Steve</t>
  </si>
  <si>
    <t>Evaluator, PhD (CCR)</t>
  </si>
  <si>
    <t>Zahnd, Whitney</t>
  </si>
  <si>
    <t>Data Manager (CCR)</t>
  </si>
  <si>
    <t>75hrs* $40/hr</t>
  </si>
  <si>
    <t>Scaife, Steve</t>
  </si>
  <si>
    <t>Statistician (CCR)</t>
  </si>
  <si>
    <t>60hrs* $60/hr</t>
  </si>
  <si>
    <t>SUBTOTALS</t>
  </si>
  <si>
    <t>SALARY</t>
  </si>
  <si>
    <t>TOTALS CHECK TO TOTAL PROJECT</t>
  </si>
  <si>
    <t>SALARY SUMMARY BY ENTITY</t>
  </si>
  <si>
    <t>SALARY TOTAL</t>
  </si>
  <si>
    <t>No Fringe Applied</t>
  </si>
  <si>
    <t>Sub</t>
  </si>
  <si>
    <t>FRINGE BENEFITS</t>
  </si>
  <si>
    <t>RATE</t>
  </si>
  <si>
    <t>FRINGE TOTAL</t>
  </si>
  <si>
    <t>RATE as of July 1, 2011</t>
  </si>
  <si>
    <t xml:space="preserve">RATE </t>
  </si>
  <si>
    <t>TOTALS</t>
  </si>
  <si>
    <t>SALARY &amp; FRINGE BENEFITS</t>
  </si>
  <si>
    <t>SUB *</t>
  </si>
  <si>
    <t>* SUBCONTRACT AMTS FOR SALARY &amp; FRINGES</t>
  </si>
  <si>
    <t>Increase by</t>
  </si>
  <si>
    <t>YEAR 02</t>
  </si>
  <si>
    <t>12 MONTHS</t>
  </si>
  <si>
    <t>01/01/2013-12/31/2013</t>
  </si>
  <si>
    <t>@ 01.2013</t>
  </si>
  <si>
    <t>Patel</t>
  </si>
  <si>
    <t>75hrs* $41/hr</t>
  </si>
  <si>
    <t>60hrs* $61/hr</t>
  </si>
  <si>
    <t>YEAR 03</t>
  </si>
  <si>
    <t>01/01/2014-12/31/2014</t>
  </si>
  <si>
    <t>@ 01.2014</t>
  </si>
  <si>
    <t>75hrs* $42/hr</t>
  </si>
  <si>
    <t>60hrs* $62/hr</t>
  </si>
  <si>
    <t>YEAR 04</t>
  </si>
  <si>
    <t>01/01/2015-12/31/2015</t>
  </si>
  <si>
    <t>@ 01.2015</t>
  </si>
  <si>
    <t>75hrs* $43/hr</t>
  </si>
  <si>
    <t>60hrs* $63/hr</t>
  </si>
  <si>
    <t>YEAR 05</t>
  </si>
  <si>
    <t>01/01/2016-12/31/2016</t>
  </si>
  <si>
    <t>75hrs* $44/hr</t>
  </si>
  <si>
    <t>60hrs* $64/hr</t>
  </si>
  <si>
    <t>OTHER DIRECT COSTS</t>
  </si>
  <si>
    <t xml:space="preserve">VERIFY TIMELINE </t>
  </si>
  <si>
    <t>YEAR 01 ESTIMATES</t>
  </si>
  <si>
    <t>YEAR 02 ESTIMATES</t>
  </si>
  <si>
    <t>YEAR 03 ESTIMATES</t>
  </si>
  <si>
    <t>YEAR 04 ESTIMATES</t>
  </si>
  <si>
    <t>YEAR 05 ESTIMATES</t>
  </si>
  <si>
    <t>OFFICE OPERATIONS/SMALL EQUIP</t>
  </si>
  <si>
    <t xml:space="preserve">Equipment / Computers - </t>
  </si>
  <si>
    <t xml:space="preserve">Equipment / Desk setup </t>
  </si>
  <si>
    <t>Supplies -</t>
  </si>
  <si>
    <t>people</t>
  </si>
  <si>
    <t>Cost</t>
  </si>
  <si>
    <t>per Mtg</t>
  </si>
  <si>
    <t># Mtgs</t>
  </si>
  <si>
    <t>per meal</t>
  </si>
  <si>
    <t>MEETINGS CONFERENCES TRAVEL</t>
  </si>
  <si>
    <t>Local Meetings</t>
  </si>
  <si>
    <t>Convening Steering Committee</t>
  </si>
  <si>
    <t>Providers' Round Table Meetings</t>
  </si>
  <si>
    <r>
      <t xml:space="preserve">Local Mileage </t>
    </r>
    <r>
      <rPr>
        <b/>
        <i/>
        <u/>
        <sz val="10"/>
        <color indexed="8"/>
        <rFont val="Calibri"/>
        <family val="2"/>
      </rPr>
      <t>(County sites/schools)</t>
    </r>
  </si>
  <si>
    <t># miles</t>
  </si>
  <si>
    <t>Rate /mi</t>
  </si>
  <si>
    <t>TWI-Vahle - estimate 188miles/mo</t>
  </si>
  <si>
    <t>SEA-Beardon - estimate 188m/mo</t>
  </si>
  <si>
    <t>SEA-Teacher Intervention Coach</t>
  </si>
  <si>
    <t>ILCHF Required Travel</t>
  </si>
  <si>
    <t># people</t>
  </si>
  <si>
    <t>Rate</t>
  </si>
  <si>
    <t>rooms</t>
  </si>
  <si>
    <t>Community Team Meeting</t>
  </si>
  <si>
    <t>transportation - train</t>
  </si>
  <si>
    <t>lodging 1 night / share rooms ?</t>
  </si>
  <si>
    <t>per diem meals / 2 days?</t>
  </si>
  <si>
    <t>National Relevant Meetings</t>
  </si>
  <si>
    <t>Behavioral Health / Schools &amp; MH</t>
  </si>
  <si>
    <t xml:space="preserve">  transportation - airfare</t>
  </si>
  <si>
    <t xml:space="preserve">  lodging - 2 nights / 2 rooms</t>
  </si>
  <si>
    <t xml:space="preserve">  per diem meals - 3 days</t>
  </si>
  <si>
    <t xml:space="preserve">  Registration Fees</t>
  </si>
  <si>
    <t>misc taxi, tips, etc</t>
  </si>
  <si>
    <t>COMMUNICATIONS MARKETING</t>
  </si>
  <si>
    <t>Anti Stigma Campaign</t>
  </si>
  <si>
    <t>MH Awareness Campaign May</t>
  </si>
  <si>
    <t>2 - 3 Public Meetings</t>
  </si>
  <si>
    <t>ACCMHP Chairperson Stipend</t>
  </si>
  <si>
    <t>ASQ forms, etc., listed under Other</t>
  </si>
  <si>
    <t xml:space="preserve">Equipment </t>
  </si>
  <si>
    <t>Supplies</t>
  </si>
  <si>
    <t>Advertising - Screenings/Virtual Ctr</t>
  </si>
  <si>
    <t>Brochures - DELETE</t>
  </si>
  <si>
    <t>Parenting Packages CFC</t>
  </si>
  <si>
    <t>Community based play groups</t>
  </si>
  <si>
    <t>National or State Training?</t>
  </si>
  <si>
    <t>TRAINING COSTS - COMMUNITY</t>
  </si>
  <si>
    <t>ABA Scholarships &amp; Other Training</t>
  </si>
  <si>
    <t>Lunch &amp; Learn Sessions (6)</t>
  </si>
  <si>
    <t>#</t>
  </si>
  <si>
    <r>
      <t xml:space="preserve">  Experts Honoraria </t>
    </r>
    <r>
      <rPr>
        <sz val="9"/>
        <color indexed="8"/>
        <rFont val="Calibri"/>
        <family val="2"/>
      </rPr>
      <t>(3 pd / 3 volunteer)</t>
    </r>
  </si>
  <si>
    <t xml:space="preserve">  Cost of Lunch -delete</t>
  </si>
  <si>
    <t># trips</t>
  </si>
  <si>
    <t>hours</t>
  </si>
  <si>
    <t>rate</t>
  </si>
  <si>
    <t>Early Childhood Development</t>
  </si>
  <si>
    <t>Mary Dobbins, MD - CME</t>
  </si>
  <si>
    <t>mileage reimbursement</t>
  </si>
  <si>
    <t>Physician CMEs - 4 per year</t>
  </si>
  <si>
    <t xml:space="preserve"> Speaker Fees</t>
  </si>
  <si>
    <t xml:space="preserve">  plus travel reimbursement</t>
  </si>
  <si>
    <t>Blessing w/host &amp; advertise (in-kind $ ?)</t>
  </si>
  <si>
    <t>20 - 25 attendees  - CME Cost ?</t>
  </si>
  <si>
    <t>Learning Communities TRAINING</t>
  </si>
  <si>
    <t>sessions</t>
  </si>
  <si>
    <t>1 - 2 day workshop - expert speaker</t>
  </si>
  <si>
    <t>Travel expense Reimb ????</t>
  </si>
  <si>
    <t xml:space="preserve">workshop - facility, food costs </t>
  </si>
  <si>
    <t>followed by 5 group meetings</t>
  </si>
  <si>
    <t>any teleconferencing costs ?</t>
  </si>
  <si>
    <t>Behavioral Parent Training</t>
  </si>
  <si>
    <t># hrs</t>
  </si>
  <si>
    <t xml:space="preserve">  Marc Atkins, Chicago - Nov, 2011</t>
  </si>
  <si>
    <t xml:space="preserve"> follow up via televideo</t>
  </si>
  <si>
    <t>CEUs, travel promotion  inkind by MH Auth</t>
  </si>
  <si>
    <t xml:space="preserve">CBT Training </t>
  </si>
  <si>
    <t xml:space="preserve">  Mark Reinecke, Chicago</t>
  </si>
  <si>
    <t xml:space="preserve"> follow up mtgs via televideo</t>
  </si>
  <si>
    <t>Travel expense reimb</t>
  </si>
  <si>
    <t xml:space="preserve">PBIS Training for lay community </t>
  </si>
  <si>
    <t>No cost ?</t>
  </si>
  <si>
    <t>x</t>
  </si>
  <si>
    <t>TRAINING COSTS - LEARN COLLABORATIVE</t>
  </si>
  <si>
    <t>TO BE DETERMINED?</t>
  </si>
  <si>
    <t>TRAINING COSTS - NTI UPSTREAM</t>
  </si>
  <si>
    <t>NTI workshop MHA</t>
  </si>
  <si>
    <t>$1200/day</t>
  </si>
  <si>
    <t>NTI CME Blessing</t>
  </si>
  <si>
    <t>DIRECT COSTS - PROVIDING SERVICES</t>
  </si>
  <si>
    <t>SIU Dobbins, Child Psychiatrist</t>
  </si>
  <si>
    <t>mo</t>
  </si>
  <si>
    <t>hrs</t>
  </si>
  <si>
    <t>SIU - Dobbins professional fee</t>
  </si>
  <si>
    <t>7.5 hrs in Quincy / 3 hrs televideo</t>
  </si>
  <si>
    <t>miles</t>
  </si>
  <si>
    <t>SIU - Dobbins mileage reimb</t>
  </si>
  <si>
    <t xml:space="preserve">Behavioral Analyst </t>
  </si>
  <si>
    <t>Todd Streff, St Louis,  MO</t>
  </si>
  <si>
    <t>QMG - Services</t>
  </si>
  <si>
    <t>weeks</t>
  </si>
  <si>
    <t xml:space="preserve">Occupational Therapist 10% time </t>
  </si>
  <si>
    <t>Speech Therapist - 10% time</t>
  </si>
  <si>
    <t>Local HC Professionals</t>
  </si>
  <si>
    <t>Various - pre-determined fees</t>
  </si>
  <si>
    <t>Assessment Team Coaching Svcs</t>
  </si>
  <si>
    <t xml:space="preserve"> provided to therapists &amp; caregivers</t>
  </si>
  <si>
    <t>** REVIEW ASQ SUBSCRIPTIONS**</t>
  </si>
  <si>
    <t># Sites</t>
  </si>
  <si>
    <t>ASQ SE &amp; 3 Spanish Starter Kits</t>
  </si>
  <si>
    <t>ASQ3 Starter Kits - Subscription</t>
  </si>
  <si>
    <t>ASQ SE Starter Kit-Subscription</t>
  </si>
  <si>
    <t>CBCL Scoring Software &amp; forms</t>
  </si>
  <si>
    <t>Parenting Relationship Questionnaire</t>
  </si>
  <si>
    <t>QPS +Other Schools</t>
  </si>
  <si>
    <t>Comm Specific Assessment Tools</t>
  </si>
  <si>
    <t>M-CHAT - free</t>
  </si>
  <si>
    <t>Meetings in Quincy</t>
  </si>
  <si>
    <t>Jenkins and/or Verhulst, Zahnd</t>
  </si>
  <si>
    <t>Evaluator's Meeting</t>
  </si>
  <si>
    <t>transportation - train Quincy</t>
  </si>
  <si>
    <t>transportation - mileage Spfld</t>
  </si>
  <si>
    <t>lodging - 1 night / share rooms</t>
  </si>
  <si>
    <t>per diem for 2 days</t>
  </si>
  <si>
    <t>HOW ARE THESE GOING TO BE PRODUCED, COMPLETED, COLLECTED?</t>
  </si>
  <si>
    <t>SURVEYS &amp; DATA COLLECTION</t>
  </si>
  <si>
    <t>Patient Satisfaction Surveys</t>
  </si>
  <si>
    <t>Provider Satisfaction Surveys</t>
  </si>
  <si>
    <t>FOCUS GROUP / INTERVIEWS</t>
  </si>
  <si>
    <t># groups</t>
  </si>
  <si>
    <t>Focus Group Costs</t>
  </si>
  <si>
    <t>IRB APPROVAL / OVERSIGHT</t>
  </si>
  <si>
    <t>IRB costs?</t>
  </si>
  <si>
    <t>SIU Center for Clinical Research</t>
  </si>
  <si>
    <t>Hours</t>
  </si>
  <si>
    <t>FTE Calc</t>
  </si>
  <si>
    <t>ADAMS COUNTY CHILDREN'S MENTAL HEALTH PARTNERSHIP</t>
  </si>
  <si>
    <t>APPENDIX 6</t>
  </si>
  <si>
    <t>OPERATING BUDGET - YEAR 1 IMPLEMENTATION</t>
  </si>
  <si>
    <t>SEPTEMBER 1, 2011 - DECEMBER 31, 2012</t>
  </si>
  <si>
    <t>A</t>
  </si>
  <si>
    <t>B</t>
  </si>
  <si>
    <t>Total Budget</t>
  </si>
  <si>
    <t>Sources of Funding</t>
  </si>
  <si>
    <t>Detailed Functional Category</t>
  </si>
  <si>
    <t>FTE's</t>
  </si>
  <si>
    <t>Year 1</t>
  </si>
  <si>
    <t>ILCHF</t>
  </si>
  <si>
    <t>SIUSM</t>
  </si>
  <si>
    <t>BPS/QMG</t>
  </si>
  <si>
    <t>SYSTEM of CARE ORGANIZATIONAL STRUCTURE/LEADERSHIP</t>
  </si>
  <si>
    <t xml:space="preserve"> </t>
  </si>
  <si>
    <t>PERSONNEL / PURCHASED SERVICES</t>
  </si>
  <si>
    <t>Lead Agency(ies)</t>
  </si>
  <si>
    <t xml:space="preserve">Project Director </t>
  </si>
  <si>
    <t>Other Project Staff</t>
  </si>
  <si>
    <t>Fringe Benefits - MAX 30% ALLOWABLE GRANT</t>
  </si>
  <si>
    <t>Subtotal - Personnel/Purchased Services</t>
  </si>
  <si>
    <t>Office Operations/Small Equipment</t>
  </si>
  <si>
    <t>Meeting, Conference and Travel Expenses</t>
  </si>
  <si>
    <t>Subtotal - Other Direct Costs</t>
  </si>
  <si>
    <t>Total SOC Organizational Structure and Leadership Costs</t>
  </si>
  <si>
    <t>EXECUTION OF THE PLAN:  DIRECT SERVICE EXPENSES</t>
  </si>
  <si>
    <t>Salary for Mental Health Professionals</t>
  </si>
  <si>
    <t>Salary for Case Coordination</t>
  </si>
  <si>
    <t>Other Personnel/Purchased Services</t>
  </si>
  <si>
    <t xml:space="preserve">Meeting, Conference, and Travel Expenses </t>
  </si>
  <si>
    <t>Training Costs  - Community Specific</t>
  </si>
  <si>
    <t>Training Costs - As a Learning Collaborative</t>
  </si>
  <si>
    <t>Training Costs - Services from NTI Upstream</t>
  </si>
  <si>
    <t>Direct Costs - Providing Services - Fee for Service Basis</t>
  </si>
  <si>
    <t>Total Execution of the Plan:  Direct Service Expenses</t>
  </si>
  <si>
    <t>EVALUATION AND MONITORING of the PROJECT</t>
  </si>
  <si>
    <t>Administrative</t>
  </si>
  <si>
    <t>Total - Personnel/Purchased Services</t>
  </si>
  <si>
    <t>Surveys/Data Collection</t>
  </si>
  <si>
    <t>IRB Approval, Renewal and Oversight</t>
  </si>
  <si>
    <t>Total - Other Direct Costs</t>
  </si>
  <si>
    <t>Total Evaluation and Monitoring of the Project</t>
  </si>
  <si>
    <t>INDIRECT COSTS  (not to exceed 10% of total other costs)</t>
  </si>
  <si>
    <t>TOTAL COSTS - IMPLEMENTATION YEAR 1</t>
  </si>
  <si>
    <t>Percentage of Budget:</t>
  </si>
  <si>
    <t xml:space="preserve">  System of Care Organizational Structure/Leadership</t>
  </si>
  <si>
    <t xml:space="preserve">  Execution of the Plan:  Direct Service Expenses</t>
  </si>
  <si>
    <t xml:space="preserve">  Evaluation and Monitoring of the Project</t>
  </si>
  <si>
    <r>
      <rPr>
        <b/>
        <sz val="11"/>
        <color theme="1"/>
        <rFont val="Calibri"/>
        <family val="2"/>
        <scheme val="minor"/>
      </rPr>
      <t xml:space="preserve">Total Project Budget </t>
    </r>
    <r>
      <rPr>
        <sz val="11"/>
        <color theme="1"/>
        <rFont val="Calibri"/>
        <family val="2"/>
        <scheme val="minor"/>
      </rPr>
      <t xml:space="preserve">
(Includes funding from ILCHF, Other, and In-Kind sources)</t>
    </r>
  </si>
  <si>
    <t>Total Project Budget</t>
  </si>
  <si>
    <t>Total ILCHF</t>
  </si>
  <si>
    <t>Total Other</t>
  </si>
  <si>
    <t>Total In-Kind</t>
  </si>
  <si>
    <t>1. PROGRAM STAFF</t>
  </si>
  <si>
    <t xml:space="preserve">Agency Leader </t>
  </si>
  <si>
    <t>Project Director</t>
  </si>
  <si>
    <t>Community Planning Team</t>
  </si>
  <si>
    <t>Other Project Staff - Type 2</t>
  </si>
  <si>
    <t>Other Project Staff - Type 3</t>
  </si>
  <si>
    <t>Other Project Staff - Type 4</t>
  </si>
  <si>
    <t>Other Project Staff - Type 5</t>
  </si>
  <si>
    <t xml:space="preserve">Fringe Benefits </t>
  </si>
  <si>
    <t>Subtotal - Personnel</t>
  </si>
  <si>
    <t>2. OTHER DIRECT COSTS</t>
  </si>
  <si>
    <t xml:space="preserve">Travel Expenses </t>
  </si>
  <si>
    <t>Meeting Expenses</t>
  </si>
  <si>
    <t>Survey/Data Collection</t>
  </si>
  <si>
    <t>Equipment</t>
  </si>
  <si>
    <t>Construction/Remodeling</t>
  </si>
  <si>
    <t xml:space="preserve">Project Space - </t>
  </si>
  <si>
    <t xml:space="preserve">Other Expenses - </t>
  </si>
  <si>
    <t>3. PURCHASED SERVICES</t>
  </si>
  <si>
    <t>Personnel/Purchased Services</t>
  </si>
  <si>
    <t>Contracted Professionals</t>
  </si>
  <si>
    <t>Subtotal - Purchased Services</t>
  </si>
  <si>
    <t>4. OVERHEAD/INDIRECT COSTS (not otherwise accounted for)</t>
  </si>
  <si>
    <t>Be specific as to costs</t>
  </si>
  <si>
    <t>Subtotal - Overhead Costs</t>
  </si>
  <si>
    <t>TOTAL COSTS - 18 months</t>
  </si>
  <si>
    <t>In-Kind</t>
  </si>
  <si>
    <t>Year 2</t>
  </si>
  <si>
    <t>Program Staff</t>
  </si>
  <si>
    <t>Other Direct Costs</t>
  </si>
  <si>
    <t>Purchased Services</t>
  </si>
  <si>
    <t>Overhead / Indirect Costs</t>
  </si>
  <si>
    <t>Total</t>
  </si>
  <si>
    <t>OPERATING BUDGET - March 1, 2025 - February 28, 2027  (24 months)</t>
  </si>
  <si>
    <t>24 months</t>
  </si>
  <si>
    <t>Strengthening the Bilingual Mental Health Workforce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</si>
</sst>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</numFmts>
  <fonts count="8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9"/>
      <color indexed="36"/>
      <name val="Calibri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660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 val="double"/>
      <sz val="10"/>
      <color theme="1"/>
      <name val="Calibri"/>
      <family val="2"/>
      <scheme val="minor"/>
    </font>
    <font>
      <b/>
      <u val="double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i/>
      <strike/>
      <sz val="11"/>
      <color rgb="FFFF0000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u val="double"/>
      <sz val="10"/>
      <color theme="1"/>
      <name val="Arial"/>
      <family val="2"/>
    </font>
    <font>
      <u val="double"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trike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121"/>
      <name val="Aptos"/>
      <family val="2"/>
      <charset val="1"/>
    </font>
    <font>
      <sz val="11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86" fillId="11" borderId="0" applyNumberFormat="0" applyBorder="0" applyAlignment="0" applyProtection="0"/>
  </cellStyleXfs>
  <cellXfs count="617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9" fillId="2" borderId="1" xfId="0" applyFont="1" applyFill="1" applyBorder="1"/>
    <xf numFmtId="0" fontId="0" fillId="2" borderId="2" xfId="0" applyFill="1" applyBorder="1"/>
    <xf numFmtId="0" fontId="0" fillId="0" borderId="6" xfId="0" applyBorder="1"/>
    <xf numFmtId="0" fontId="0" fillId="2" borderId="7" xfId="0" applyFill="1" applyBorder="1"/>
    <xf numFmtId="42" fontId="0" fillId="0" borderId="0" xfId="0" applyNumberFormat="1"/>
    <xf numFmtId="42" fontId="0" fillId="2" borderId="7" xfId="0" applyNumberFormat="1" applyFill="1" applyBorder="1"/>
    <xf numFmtId="42" fontId="0" fillId="3" borderId="0" xfId="0" applyNumberFormat="1" applyFill="1"/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42" fontId="0" fillId="2" borderId="9" xfId="0" applyNumberFormat="1" applyFill="1" applyBorder="1"/>
    <xf numFmtId="42" fontId="0" fillId="2" borderId="10" xfId="0" applyNumberForma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42" fontId="9" fillId="2" borderId="12" xfId="0" applyNumberFormat="1" applyFont="1" applyFill="1" applyBorder="1"/>
    <xf numFmtId="42" fontId="9" fillId="2" borderId="13" xfId="0" applyNumberFormat="1" applyFont="1" applyFill="1" applyBorder="1"/>
    <xf numFmtId="42" fontId="0" fillId="2" borderId="2" xfId="0" applyNumberFormat="1" applyFill="1" applyBorder="1"/>
    <xf numFmtId="42" fontId="0" fillId="2" borderId="3" xfId="0" applyNumberFormat="1" applyFill="1" applyBorder="1"/>
    <xf numFmtId="0" fontId="0" fillId="2" borderId="12" xfId="0" applyFill="1" applyBorder="1"/>
    <xf numFmtId="42" fontId="0" fillId="2" borderId="12" xfId="0" applyNumberFormat="1" applyFill="1" applyBorder="1"/>
    <xf numFmtId="42" fontId="0" fillId="2" borderId="13" xfId="0" applyNumberFormat="1" applyFill="1" applyBorder="1"/>
    <xf numFmtId="0" fontId="0" fillId="0" borderId="6" xfId="0" applyBorder="1" applyAlignment="1">
      <alignment horizontal="center"/>
    </xf>
    <xf numFmtId="42" fontId="0" fillId="4" borderId="0" xfId="0" applyNumberFormat="1" applyFill="1"/>
    <xf numFmtId="0" fontId="9" fillId="2" borderId="14" xfId="0" applyFont="1" applyFill="1" applyBorder="1"/>
    <xf numFmtId="0" fontId="0" fillId="2" borderId="15" xfId="0" applyFill="1" applyBorder="1"/>
    <xf numFmtId="42" fontId="0" fillId="3" borderId="15" xfId="0" applyNumberFormat="1" applyFill="1" applyBorder="1"/>
    <xf numFmtId="42" fontId="0" fillId="2" borderId="15" xfId="0" applyNumberFormat="1" applyFill="1" applyBorder="1"/>
    <xf numFmtId="42" fontId="0" fillId="2" borderId="16" xfId="0" applyNumberFormat="1" applyFill="1" applyBorder="1"/>
    <xf numFmtId="0" fontId="9" fillId="2" borderId="15" xfId="0" applyFont="1" applyFill="1" applyBorder="1"/>
    <xf numFmtId="42" fontId="9" fillId="2" borderId="15" xfId="0" applyNumberFormat="1" applyFont="1" applyFill="1" applyBorder="1"/>
    <xf numFmtId="42" fontId="9" fillId="2" borderId="16" xfId="0" applyNumberFormat="1" applyFont="1" applyFill="1" applyBorder="1"/>
    <xf numFmtId="0" fontId="14" fillId="0" borderId="0" xfId="0" applyFont="1"/>
    <xf numFmtId="1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2" xfId="0" applyFont="1" applyFill="1" applyBorder="1"/>
    <xf numFmtId="42" fontId="10" fillId="0" borderId="0" xfId="0" applyNumberFormat="1" applyFont="1"/>
    <xf numFmtId="42" fontId="10" fillId="3" borderId="0" xfId="0" applyNumberFormat="1" applyFont="1" applyFill="1"/>
    <xf numFmtId="42" fontId="10" fillId="2" borderId="9" xfId="0" applyNumberFormat="1" applyFont="1" applyFill="1" applyBorder="1"/>
    <xf numFmtId="42" fontId="15" fillId="2" borderId="12" xfId="0" applyNumberFormat="1" applyFont="1" applyFill="1" applyBorder="1"/>
    <xf numFmtId="42" fontId="10" fillId="2" borderId="2" xfId="0" applyNumberFormat="1" applyFont="1" applyFill="1" applyBorder="1"/>
    <xf numFmtId="42" fontId="10" fillId="2" borderId="12" xfId="0" applyNumberFormat="1" applyFont="1" applyFill="1" applyBorder="1"/>
    <xf numFmtId="42" fontId="15" fillId="2" borderId="15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6" fillId="2" borderId="2" xfId="0" applyFont="1" applyFill="1" applyBorder="1"/>
    <xf numFmtId="42" fontId="16" fillId="0" borderId="0" xfId="0" applyNumberFormat="1" applyFont="1"/>
    <xf numFmtId="42" fontId="16" fillId="3" borderId="0" xfId="0" applyNumberFormat="1" applyFont="1" applyFill="1"/>
    <xf numFmtId="42" fontId="16" fillId="2" borderId="9" xfId="0" applyNumberFormat="1" applyFont="1" applyFill="1" applyBorder="1"/>
    <xf numFmtId="42" fontId="17" fillId="2" borderId="12" xfId="0" applyNumberFormat="1" applyFont="1" applyFill="1" applyBorder="1"/>
    <xf numFmtId="42" fontId="16" fillId="2" borderId="2" xfId="0" applyNumberFormat="1" applyFont="1" applyFill="1" applyBorder="1"/>
    <xf numFmtId="42" fontId="16" fillId="2" borderId="12" xfId="0" applyNumberFormat="1" applyFont="1" applyFill="1" applyBorder="1"/>
    <xf numFmtId="42" fontId="16" fillId="3" borderId="15" xfId="0" applyNumberFormat="1" applyFont="1" applyFill="1" applyBorder="1"/>
    <xf numFmtId="42" fontId="17" fillId="2" borderId="15" xfId="0" applyNumberFormat="1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2" borderId="2" xfId="0" applyFont="1" applyFill="1" applyBorder="1"/>
    <xf numFmtId="42" fontId="18" fillId="0" borderId="0" xfId="0" applyNumberFormat="1" applyFont="1"/>
    <xf numFmtId="42" fontId="18" fillId="3" borderId="0" xfId="0" applyNumberFormat="1" applyFont="1" applyFill="1"/>
    <xf numFmtId="42" fontId="18" fillId="2" borderId="9" xfId="0" applyNumberFormat="1" applyFont="1" applyFill="1" applyBorder="1"/>
    <xf numFmtId="42" fontId="19" fillId="2" borderId="12" xfId="0" applyNumberFormat="1" applyFont="1" applyFill="1" applyBorder="1"/>
    <xf numFmtId="42" fontId="18" fillId="2" borderId="2" xfId="0" applyNumberFormat="1" applyFont="1" applyFill="1" applyBorder="1"/>
    <xf numFmtId="42" fontId="18" fillId="2" borderId="12" xfId="0" applyNumberFormat="1" applyFont="1" applyFill="1" applyBorder="1"/>
    <xf numFmtId="42" fontId="18" fillId="3" borderId="15" xfId="0" applyNumberFormat="1" applyFont="1" applyFill="1" applyBorder="1"/>
    <xf numFmtId="42" fontId="19" fillId="2" borderId="15" xfId="0" applyNumberFormat="1" applyFont="1" applyFill="1" applyBorder="1"/>
    <xf numFmtId="0" fontId="1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0" borderId="2" xfId="0" applyFont="1" applyBorder="1"/>
    <xf numFmtId="0" fontId="9" fillId="0" borderId="0" xfId="0" applyFont="1" applyAlignment="1">
      <alignment horizontal="center"/>
    </xf>
    <xf numFmtId="0" fontId="9" fillId="2" borderId="2" xfId="0" applyFont="1" applyFill="1" applyBorder="1"/>
    <xf numFmtId="0" fontId="9" fillId="2" borderId="9" xfId="0" applyFont="1" applyFill="1" applyBorder="1"/>
    <xf numFmtId="0" fontId="20" fillId="0" borderId="6" xfId="0" applyFont="1" applyBorder="1"/>
    <xf numFmtId="0" fontId="20" fillId="0" borderId="0" xfId="0" applyFont="1"/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42" fontId="20" fillId="3" borderId="0" xfId="0" applyNumberFormat="1" applyFont="1" applyFill="1"/>
    <xf numFmtId="42" fontId="20" fillId="0" borderId="0" xfId="0" applyNumberFormat="1" applyFont="1"/>
    <xf numFmtId="42" fontId="21" fillId="3" borderId="0" xfId="0" applyNumberFormat="1" applyFont="1" applyFill="1"/>
    <xf numFmtId="42" fontId="22" fillId="3" borderId="0" xfId="0" applyNumberFormat="1" applyFont="1" applyFill="1"/>
    <xf numFmtId="42" fontId="23" fillId="3" borderId="0" xfId="0" applyNumberFormat="1" applyFont="1" applyFill="1"/>
    <xf numFmtId="42" fontId="20" fillId="2" borderId="7" xfId="0" applyNumberFormat="1" applyFont="1" applyFill="1" applyBorder="1"/>
    <xf numFmtId="42" fontId="24" fillId="3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5" fillId="0" borderId="0" xfId="0" applyFont="1"/>
    <xf numFmtId="0" fontId="9" fillId="0" borderId="17" xfId="0" applyFont="1" applyBorder="1"/>
    <xf numFmtId="0" fontId="25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18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15" fillId="0" borderId="17" xfId="0" applyFont="1" applyBorder="1"/>
    <xf numFmtId="2" fontId="9" fillId="0" borderId="19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17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165" fontId="0" fillId="0" borderId="0" xfId="0" applyNumberFormat="1"/>
    <xf numFmtId="165" fontId="9" fillId="0" borderId="0" xfId="0" applyNumberFormat="1" applyFont="1"/>
    <xf numFmtId="0" fontId="26" fillId="0" borderId="0" xfId="0" applyFont="1"/>
    <xf numFmtId="2" fontId="0" fillId="5" borderId="0" xfId="0" applyNumberFormat="1" applyFill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17" xfId="0" applyFont="1" applyBorder="1"/>
    <xf numFmtId="0" fontId="27" fillId="0" borderId="17" xfId="0" applyFont="1" applyBorder="1"/>
    <xf numFmtId="0" fontId="15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5" borderId="17" xfId="0" applyFont="1" applyFill="1" applyBorder="1" applyAlignment="1">
      <alignment horizontal="center"/>
    </xf>
    <xf numFmtId="0" fontId="0" fillId="0" borderId="9" xfId="0" applyBorder="1"/>
    <xf numFmtId="2" fontId="9" fillId="0" borderId="9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right"/>
    </xf>
    <xf numFmtId="2" fontId="0" fillId="0" borderId="2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9" fillId="0" borderId="9" xfId="0" applyNumberFormat="1" applyFont="1" applyBorder="1"/>
    <xf numFmtId="165" fontId="9" fillId="0" borderId="9" xfId="0" applyNumberFormat="1" applyFont="1" applyBorder="1"/>
    <xf numFmtId="0" fontId="28" fillId="0" borderId="9" xfId="0" applyFont="1" applyBorder="1"/>
    <xf numFmtId="0" fontId="9" fillId="0" borderId="9" xfId="0" applyFont="1" applyBorder="1"/>
    <xf numFmtId="2" fontId="9" fillId="0" borderId="20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15" fillId="0" borderId="9" xfId="0" applyFont="1" applyBorder="1"/>
    <xf numFmtId="9" fontId="7" fillId="0" borderId="0" xfId="3" applyFont="1" applyAlignment="1">
      <alignment horizontal="center"/>
    </xf>
    <xf numFmtId="165" fontId="9" fillId="0" borderId="21" xfId="0" applyNumberFormat="1" applyFont="1" applyBorder="1" applyAlignment="1">
      <alignment horizontal="right"/>
    </xf>
    <xf numFmtId="165" fontId="9" fillId="0" borderId="2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0" fillId="0" borderId="9" xfId="0" applyNumberFormat="1" applyBorder="1"/>
    <xf numFmtId="165" fontId="0" fillId="0" borderId="9" xfId="0" applyNumberFormat="1" applyBorder="1"/>
    <xf numFmtId="0" fontId="23" fillId="0" borderId="17" xfId="0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5" fontId="9" fillId="0" borderId="22" xfId="0" applyNumberFormat="1" applyFont="1" applyBorder="1" applyAlignment="1">
      <alignment horizontal="right"/>
    </xf>
    <xf numFmtId="9" fontId="9" fillId="0" borderId="0" xfId="3" applyFont="1" applyAlignment="1">
      <alignment horizontal="center"/>
    </xf>
    <xf numFmtId="0" fontId="27" fillId="0" borderId="0" xfId="0" applyFont="1" applyAlignment="1">
      <alignment horizontal="right"/>
    </xf>
    <xf numFmtId="165" fontId="0" fillId="0" borderId="9" xfId="0" applyNumberForma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21" xfId="0" applyNumberFormat="1" applyBorder="1" applyAlignment="1">
      <alignment horizontal="right"/>
    </xf>
    <xf numFmtId="2" fontId="9" fillId="0" borderId="18" xfId="0" applyNumberFormat="1" applyFont="1" applyBorder="1" applyAlignment="1">
      <alignment horizontal="center"/>
    </xf>
    <xf numFmtId="165" fontId="9" fillId="6" borderId="0" xfId="0" applyNumberFormat="1" applyFont="1" applyFill="1" applyAlignment="1">
      <alignment horizontal="center"/>
    </xf>
    <xf numFmtId="2" fontId="9" fillId="6" borderId="18" xfId="0" applyNumberFormat="1" applyFont="1" applyFill="1" applyBorder="1" applyAlignment="1">
      <alignment horizontal="center"/>
    </xf>
    <xf numFmtId="2" fontId="9" fillId="6" borderId="0" xfId="0" applyNumberFormat="1" applyFont="1" applyFill="1" applyAlignment="1">
      <alignment horizontal="center"/>
    </xf>
    <xf numFmtId="2" fontId="9" fillId="7" borderId="18" xfId="0" applyNumberFormat="1" applyFont="1" applyFill="1" applyBorder="1" applyAlignment="1">
      <alignment horizontal="center"/>
    </xf>
    <xf numFmtId="165" fontId="9" fillId="7" borderId="0" xfId="0" applyNumberFormat="1" applyFont="1" applyFill="1" applyAlignment="1">
      <alignment horizontal="center"/>
    </xf>
    <xf numFmtId="2" fontId="9" fillId="7" borderId="0" xfId="0" applyNumberFormat="1" applyFont="1" applyFill="1" applyAlignment="1">
      <alignment horizontal="center"/>
    </xf>
    <xf numFmtId="2" fontId="9" fillId="8" borderId="18" xfId="0" applyNumberFormat="1" applyFont="1" applyFill="1" applyBorder="1" applyAlignment="1">
      <alignment horizontal="center"/>
    </xf>
    <xf numFmtId="165" fontId="9" fillId="8" borderId="0" xfId="0" applyNumberFormat="1" applyFont="1" applyFill="1" applyAlignment="1">
      <alignment horizontal="center"/>
    </xf>
    <xf numFmtId="2" fontId="9" fillId="8" borderId="0" xfId="0" applyNumberFormat="1" applyFont="1" applyFill="1" applyAlignment="1">
      <alignment horizontal="center"/>
    </xf>
    <xf numFmtId="2" fontId="8" fillId="9" borderId="18" xfId="0" applyNumberFormat="1" applyFont="1" applyFill="1" applyBorder="1" applyAlignment="1">
      <alignment horizontal="center"/>
    </xf>
    <xf numFmtId="165" fontId="8" fillId="9" borderId="0" xfId="0" applyNumberFormat="1" applyFont="1" applyFill="1" applyAlignment="1">
      <alignment horizontal="center"/>
    </xf>
    <xf numFmtId="2" fontId="8" fillId="9" borderId="0" xfId="0" applyNumberFormat="1" applyFont="1" applyFill="1" applyAlignment="1">
      <alignment horizontal="center"/>
    </xf>
    <xf numFmtId="2" fontId="8" fillId="9" borderId="0" xfId="0" applyNumberFormat="1" applyFont="1" applyFill="1"/>
    <xf numFmtId="165" fontId="8" fillId="9" borderId="0" xfId="0" applyNumberFormat="1" applyFont="1" applyFill="1"/>
    <xf numFmtId="165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30" fillId="0" borderId="0" xfId="0" applyNumberFormat="1" applyFont="1"/>
    <xf numFmtId="165" fontId="30" fillId="0" borderId="0" xfId="0" applyNumberFormat="1" applyFont="1"/>
    <xf numFmtId="165" fontId="30" fillId="0" borderId="0" xfId="0" applyNumberFormat="1" applyFont="1" applyAlignment="1">
      <alignment horizontal="right"/>
    </xf>
    <xf numFmtId="42" fontId="9" fillId="3" borderId="0" xfId="0" applyNumberFormat="1" applyFont="1" applyFill="1"/>
    <xf numFmtId="42" fontId="9" fillId="0" borderId="0" xfId="0" applyNumberFormat="1" applyFont="1"/>
    <xf numFmtId="42" fontId="17" fillId="3" borderId="0" xfId="0" applyNumberFormat="1" applyFont="1" applyFill="1"/>
    <xf numFmtId="42" fontId="19" fillId="3" borderId="0" xfId="0" applyNumberFormat="1" applyFont="1" applyFill="1"/>
    <xf numFmtId="42" fontId="15" fillId="3" borderId="0" xfId="0" applyNumberFormat="1" applyFont="1" applyFill="1"/>
    <xf numFmtId="42" fontId="9" fillId="2" borderId="7" xfId="0" applyNumberFormat="1" applyFont="1" applyFill="1" applyBorder="1"/>
    <xf numFmtId="0" fontId="9" fillId="0" borderId="6" xfId="0" applyFont="1" applyBorder="1"/>
    <xf numFmtId="2" fontId="0" fillId="3" borderId="1" xfId="0" applyNumberFormat="1" applyFill="1" applyBorder="1" applyAlignment="1">
      <alignment horizontal="center"/>
    </xf>
    <xf numFmtId="2" fontId="0" fillId="3" borderId="23" xfId="0" applyNumberFormat="1" applyFill="1" applyBorder="1" applyAlignment="1">
      <alignment horizontal="center"/>
    </xf>
    <xf numFmtId="0" fontId="0" fillId="0" borderId="18" xfId="0" applyBorder="1"/>
    <xf numFmtId="0" fontId="0" fillId="0" borderId="0" xfId="0" applyAlignment="1">
      <alignment horizontal="right"/>
    </xf>
    <xf numFmtId="0" fontId="9" fillId="6" borderId="0" xfId="0" applyFont="1" applyFill="1"/>
    <xf numFmtId="0" fontId="9" fillId="5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9" fillId="7" borderId="0" xfId="0" applyFont="1" applyFill="1"/>
    <xf numFmtId="0" fontId="31" fillId="0" borderId="1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8" xfId="0" applyFont="1" applyBorder="1"/>
    <xf numFmtId="0" fontId="31" fillId="0" borderId="0" xfId="0" applyFont="1"/>
    <xf numFmtId="0" fontId="32" fillId="0" borderId="0" xfId="0" applyFont="1"/>
    <xf numFmtId="0" fontId="10" fillId="0" borderId="18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0" fillId="0" borderId="18" xfId="0" applyFont="1" applyBorder="1"/>
    <xf numFmtId="0" fontId="9" fillId="8" borderId="0" xfId="0" applyFont="1" applyFill="1"/>
    <xf numFmtId="1" fontId="9" fillId="5" borderId="0" xfId="0" applyNumberFormat="1" applyFont="1" applyFill="1" applyAlignment="1">
      <alignment horizontal="right"/>
    </xf>
    <xf numFmtId="0" fontId="33" fillId="0" borderId="0" xfId="0" applyFont="1"/>
    <xf numFmtId="2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2" fontId="23" fillId="0" borderId="0" xfId="0" applyNumberFormat="1" applyFont="1"/>
    <xf numFmtId="165" fontId="23" fillId="0" borderId="0" xfId="0" applyNumberFormat="1" applyFont="1"/>
    <xf numFmtId="10" fontId="7" fillId="0" borderId="0" xfId="3" applyNumberFormat="1" applyFont="1"/>
    <xf numFmtId="0" fontId="34" fillId="0" borderId="0" xfId="0" applyFont="1"/>
    <xf numFmtId="2" fontId="10" fillId="0" borderId="0" xfId="0" applyNumberFormat="1" applyFont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right"/>
    </xf>
    <xf numFmtId="2" fontId="10" fillId="0" borderId="18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/>
    <xf numFmtId="165" fontId="10" fillId="0" borderId="0" xfId="0" applyNumberFormat="1" applyFont="1"/>
    <xf numFmtId="165" fontId="9" fillId="0" borderId="22" xfId="0" applyNumberFormat="1" applyFont="1" applyBorder="1" applyAlignment="1">
      <alignment horizontal="center"/>
    </xf>
    <xf numFmtId="165" fontId="15" fillId="0" borderId="0" xfId="0" applyNumberFormat="1" applyFont="1"/>
    <xf numFmtId="0" fontId="29" fillId="0" borderId="17" xfId="0" applyFont="1" applyBorder="1" applyAlignment="1">
      <alignment horizontal="center"/>
    </xf>
    <xf numFmtId="165" fontId="35" fillId="0" borderId="0" xfId="0" applyNumberFormat="1" applyFont="1"/>
    <xf numFmtId="2" fontId="27" fillId="6" borderId="18" xfId="0" applyNumberFormat="1" applyFont="1" applyFill="1" applyBorder="1" applyAlignment="1">
      <alignment horizontal="center"/>
    </xf>
    <xf numFmtId="165" fontId="27" fillId="6" borderId="0" xfId="0" applyNumberFormat="1" applyFont="1" applyFill="1" applyAlignment="1">
      <alignment horizontal="center"/>
    </xf>
    <xf numFmtId="2" fontId="27" fillId="6" borderId="0" xfId="0" applyNumberFormat="1" applyFont="1" applyFill="1" applyAlignment="1">
      <alignment horizontal="center"/>
    </xf>
    <xf numFmtId="165" fontId="36" fillId="6" borderId="0" xfId="0" applyNumberFormat="1" applyFont="1" applyFill="1" applyAlignment="1">
      <alignment horizontal="center"/>
    </xf>
    <xf numFmtId="2" fontId="27" fillId="7" borderId="18" xfId="0" applyNumberFormat="1" applyFont="1" applyFill="1" applyBorder="1" applyAlignment="1">
      <alignment horizontal="center"/>
    </xf>
    <xf numFmtId="165" fontId="27" fillId="7" borderId="0" xfId="0" applyNumberFormat="1" applyFont="1" applyFill="1" applyAlignment="1">
      <alignment horizontal="center"/>
    </xf>
    <xf numFmtId="2" fontId="27" fillId="7" borderId="0" xfId="0" applyNumberFormat="1" applyFont="1" applyFill="1" applyAlignment="1">
      <alignment horizontal="center"/>
    </xf>
    <xf numFmtId="165" fontId="36" fillId="7" borderId="0" xfId="0" applyNumberFormat="1" applyFont="1" applyFill="1" applyAlignment="1">
      <alignment horizontal="center"/>
    </xf>
    <xf numFmtId="2" fontId="27" fillId="8" borderId="18" xfId="0" applyNumberFormat="1" applyFont="1" applyFill="1" applyBorder="1" applyAlignment="1">
      <alignment horizontal="center"/>
    </xf>
    <xf numFmtId="165" fontId="27" fillId="8" borderId="0" xfId="0" applyNumberFormat="1" applyFont="1" applyFill="1" applyAlignment="1">
      <alignment horizontal="center"/>
    </xf>
    <xf numFmtId="2" fontId="27" fillId="8" borderId="0" xfId="0" applyNumberFormat="1" applyFont="1" applyFill="1" applyAlignment="1">
      <alignment horizontal="center"/>
    </xf>
    <xf numFmtId="165" fontId="36" fillId="8" borderId="0" xfId="0" applyNumberFormat="1" applyFont="1" applyFill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2" fontId="27" fillId="0" borderId="0" xfId="0" applyNumberFormat="1" applyFont="1"/>
    <xf numFmtId="0" fontId="11" fillId="0" borderId="17" xfId="0" applyFont="1" applyBorder="1"/>
    <xf numFmtId="0" fontId="37" fillId="0" borderId="0" xfId="0" applyFont="1"/>
    <xf numFmtId="0" fontId="0" fillId="2" borderId="1" xfId="0" applyFill="1" applyBorder="1"/>
    <xf numFmtId="0" fontId="0" fillId="2" borderId="6" xfId="0" applyFill="1" applyBorder="1"/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0" fontId="20" fillId="0" borderId="1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8" xfId="0" applyFont="1" applyBorder="1"/>
    <xf numFmtId="0" fontId="40" fillId="0" borderId="18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26" fillId="5" borderId="0" xfId="0" applyFont="1" applyFill="1"/>
    <xf numFmtId="0" fontId="10" fillId="5" borderId="18" xfId="0" applyFont="1" applyFill="1" applyBorder="1" applyAlignment="1">
      <alignment horizontal="center"/>
    </xf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3" fillId="0" borderId="0" xfId="0" applyFont="1"/>
    <xf numFmtId="0" fontId="42" fillId="0" borderId="0" xfId="0" applyFont="1"/>
    <xf numFmtId="0" fontId="24" fillId="0" borderId="1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5" fillId="0" borderId="18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18" xfId="0" applyFont="1" applyBorder="1"/>
    <xf numFmtId="0" fontId="15" fillId="5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1" fontId="3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9" fontId="0" fillId="0" borderId="0" xfId="0" applyNumberFormat="1"/>
    <xf numFmtId="6" fontId="0" fillId="0" borderId="0" xfId="0" applyNumberFormat="1"/>
    <xf numFmtId="0" fontId="9" fillId="0" borderId="24" xfId="0" applyFont="1" applyBorder="1"/>
    <xf numFmtId="165" fontId="9" fillId="0" borderId="24" xfId="0" applyNumberFormat="1" applyFont="1" applyBorder="1"/>
    <xf numFmtId="6" fontId="9" fillId="0" borderId="0" xfId="0" applyNumberFormat="1" applyFont="1"/>
    <xf numFmtId="165" fontId="25" fillId="0" borderId="0" xfId="0" applyNumberFormat="1" applyFont="1"/>
    <xf numFmtId="0" fontId="9" fillId="6" borderId="9" xfId="0" applyFont="1" applyFill="1" applyBorder="1"/>
    <xf numFmtId="0" fontId="9" fillId="7" borderId="9" xfId="0" applyFont="1" applyFill="1" applyBorder="1"/>
    <xf numFmtId="0" fontId="9" fillId="8" borderId="9" xfId="0" applyFont="1" applyFill="1" applyBorder="1"/>
    <xf numFmtId="0" fontId="46" fillId="0" borderId="0" xfId="0" applyFont="1" applyAlignment="1">
      <alignment horizontal="right"/>
    </xf>
    <xf numFmtId="9" fontId="19" fillId="0" borderId="0" xfId="3" applyFont="1" applyFill="1" applyAlignment="1">
      <alignment horizontal="center"/>
    </xf>
    <xf numFmtId="164" fontId="19" fillId="0" borderId="0" xfId="0" quotePrefix="1" applyNumberFormat="1" applyFont="1" applyAlignment="1">
      <alignment horizontal="center"/>
    </xf>
    <xf numFmtId="165" fontId="18" fillId="0" borderId="0" xfId="0" applyNumberFormat="1" applyFont="1"/>
    <xf numFmtId="165" fontId="19" fillId="0" borderId="0" xfId="0" applyNumberFormat="1" applyFont="1" applyAlignment="1">
      <alignment horizontal="right"/>
    </xf>
    <xf numFmtId="165" fontId="19" fillId="0" borderId="0" xfId="0" applyNumberFormat="1" applyFont="1"/>
    <xf numFmtId="165" fontId="19" fillId="5" borderId="0" xfId="0" applyNumberFormat="1" applyFont="1" applyFill="1"/>
    <xf numFmtId="165" fontId="19" fillId="5" borderId="0" xfId="0" applyNumberFormat="1" applyFont="1" applyFill="1" applyAlignment="1">
      <alignment horizontal="right"/>
    </xf>
    <xf numFmtId="0" fontId="47" fillId="0" borderId="0" xfId="0" applyFont="1"/>
    <xf numFmtId="0" fontId="48" fillId="0" borderId="0" xfId="0" applyFont="1"/>
    <xf numFmtId="0" fontId="49" fillId="0" borderId="0" xfId="0" applyFont="1"/>
    <xf numFmtId="2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165" fontId="49" fillId="0" borderId="0" xfId="0" applyNumberFormat="1" applyFont="1" applyAlignment="1">
      <alignment horizontal="right"/>
    </xf>
    <xf numFmtId="2" fontId="49" fillId="0" borderId="18" xfId="0" applyNumberFormat="1" applyFont="1" applyBorder="1" applyAlignment="1">
      <alignment horizontal="center"/>
    </xf>
    <xf numFmtId="165" fontId="49" fillId="0" borderId="0" xfId="0" applyNumberFormat="1" applyFont="1" applyAlignment="1">
      <alignment horizontal="center"/>
    </xf>
    <xf numFmtId="2" fontId="49" fillId="0" borderId="0" xfId="0" applyNumberFormat="1" applyFont="1"/>
    <xf numFmtId="165" fontId="49" fillId="0" borderId="0" xfId="0" applyNumberFormat="1" applyFont="1"/>
    <xf numFmtId="0" fontId="51" fillId="0" borderId="0" xfId="0" applyFont="1"/>
    <xf numFmtId="0" fontId="52" fillId="0" borderId="18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52" fillId="0" borderId="0" xfId="0" applyFont="1"/>
    <xf numFmtId="0" fontId="52" fillId="0" borderId="18" xfId="0" applyFont="1" applyBorder="1"/>
    <xf numFmtId="0" fontId="47" fillId="0" borderId="1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53" fillId="0" borderId="0" xfId="0" applyFont="1" applyAlignment="1">
      <alignment horizontal="right"/>
    </xf>
    <xf numFmtId="0" fontId="47" fillId="0" borderId="18" xfId="0" applyFont="1" applyBorder="1"/>
    <xf numFmtId="0" fontId="53" fillId="0" borderId="0" xfId="0" applyFont="1"/>
    <xf numFmtId="0" fontId="54" fillId="5" borderId="0" xfId="0" applyFont="1" applyFill="1"/>
    <xf numFmtId="0" fontId="53" fillId="5" borderId="0" xfId="0" applyFont="1" applyFill="1" applyAlignment="1">
      <alignment horizontal="right"/>
    </xf>
    <xf numFmtId="0" fontId="47" fillId="0" borderId="18" xfId="0" applyFont="1" applyBorder="1" applyAlignment="1">
      <alignment horizontal="left"/>
    </xf>
    <xf numFmtId="0" fontId="47" fillId="0" borderId="0" xfId="0" applyFont="1" applyAlignment="1">
      <alignment horizontal="right"/>
    </xf>
    <xf numFmtId="165" fontId="5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2" fontId="23" fillId="5" borderId="18" xfId="0" applyNumberFormat="1" applyFont="1" applyFill="1" applyBorder="1" applyAlignment="1">
      <alignment horizontal="center"/>
    </xf>
    <xf numFmtId="2" fontId="23" fillId="5" borderId="0" xfId="0" applyNumberFormat="1" applyFont="1" applyFill="1" applyAlignment="1">
      <alignment horizontal="center"/>
    </xf>
    <xf numFmtId="164" fontId="55" fillId="0" borderId="0" xfId="0" applyNumberFormat="1" applyFont="1" applyAlignment="1">
      <alignment horizontal="center"/>
    </xf>
    <xf numFmtId="5" fontId="7" fillId="0" borderId="0" xfId="1" applyNumberFormat="1" applyFont="1"/>
    <xf numFmtId="0" fontId="30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2" fontId="15" fillId="0" borderId="18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0" fontId="59" fillId="0" borderId="0" xfId="0" applyFont="1"/>
    <xf numFmtId="0" fontId="30" fillId="0" borderId="9" xfId="0" applyFont="1" applyBorder="1"/>
    <xf numFmtId="0" fontId="30" fillId="0" borderId="0" xfId="0" applyFont="1" applyAlignment="1">
      <alignment horizontal="center"/>
    </xf>
    <xf numFmtId="0" fontId="0" fillId="0" borderId="9" xfId="0" applyBorder="1" applyAlignment="1">
      <alignment horizontal="right"/>
    </xf>
    <xf numFmtId="0" fontId="60" fillId="0" borderId="0" xfId="0" applyFont="1"/>
    <xf numFmtId="0" fontId="61" fillId="0" borderId="0" xfId="0" applyFont="1"/>
    <xf numFmtId="165" fontId="61" fillId="0" borderId="0" xfId="0" applyNumberFormat="1" applyFont="1"/>
    <xf numFmtId="6" fontId="61" fillId="0" borderId="0" xfId="0" applyNumberFormat="1" applyFont="1"/>
    <xf numFmtId="0" fontId="62" fillId="0" borderId="0" xfId="0" applyFont="1"/>
    <xf numFmtId="0" fontId="39" fillId="10" borderId="0" xfId="0" applyFont="1" applyFill="1"/>
    <xf numFmtId="0" fontId="10" fillId="10" borderId="18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39" fillId="10" borderId="0" xfId="0" applyFont="1" applyFill="1" applyAlignment="1">
      <alignment horizontal="right"/>
    </xf>
    <xf numFmtId="0" fontId="10" fillId="10" borderId="0" xfId="0" applyFont="1" applyFill="1"/>
    <xf numFmtId="0" fontId="15" fillId="10" borderId="0" xfId="0" applyFont="1" applyFill="1"/>
    <xf numFmtId="0" fontId="15" fillId="10" borderId="0" xfId="0" applyFont="1" applyFill="1" applyAlignment="1">
      <alignment horizontal="right"/>
    </xf>
    <xf numFmtId="0" fontId="0" fillId="0" borderId="17" xfId="0" applyBorder="1"/>
    <xf numFmtId="165" fontId="0" fillId="0" borderId="17" xfId="0" applyNumberFormat="1" applyBorder="1"/>
    <xf numFmtId="0" fontId="58" fillId="10" borderId="9" xfId="0" applyFont="1" applyFill="1" applyBorder="1"/>
    <xf numFmtId="0" fontId="9" fillId="10" borderId="9" xfId="0" applyFont="1" applyFill="1" applyBorder="1"/>
    <xf numFmtId="165" fontId="9" fillId="10" borderId="9" xfId="0" applyNumberFormat="1" applyFont="1" applyFill="1" applyBorder="1"/>
    <xf numFmtId="0" fontId="63" fillId="0" borderId="0" xfId="0" applyFont="1"/>
    <xf numFmtId="0" fontId="64" fillId="0" borderId="0" xfId="0" applyFont="1"/>
    <xf numFmtId="2" fontId="64" fillId="0" borderId="0" xfId="0" applyNumberFormat="1" applyFont="1" applyAlignment="1">
      <alignment horizontal="center"/>
    </xf>
    <xf numFmtId="0" fontId="65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165" fontId="64" fillId="0" borderId="0" xfId="0" applyNumberFormat="1" applyFont="1" applyAlignment="1">
      <alignment horizontal="right"/>
    </xf>
    <xf numFmtId="2" fontId="64" fillId="0" borderId="18" xfId="0" applyNumberFormat="1" applyFont="1" applyBorder="1" applyAlignment="1">
      <alignment horizontal="center"/>
    </xf>
    <xf numFmtId="165" fontId="64" fillId="0" borderId="0" xfId="0" applyNumberFormat="1" applyFont="1" applyAlignment="1">
      <alignment horizontal="center"/>
    </xf>
    <xf numFmtId="2" fontId="64" fillId="0" borderId="0" xfId="0" applyNumberFormat="1" applyFont="1"/>
    <xf numFmtId="165" fontId="64" fillId="0" borderId="0" xfId="0" applyNumberFormat="1" applyFont="1"/>
    <xf numFmtId="0" fontId="65" fillId="5" borderId="0" xfId="0" applyFont="1" applyFill="1" applyAlignment="1">
      <alignment horizontal="center"/>
    </xf>
    <xf numFmtId="2" fontId="64" fillId="5" borderId="18" xfId="0" applyNumberFormat="1" applyFont="1" applyFill="1" applyBorder="1" applyAlignment="1">
      <alignment horizontal="center"/>
    </xf>
    <xf numFmtId="2" fontId="64" fillId="5" borderId="0" xfId="0" applyNumberFormat="1" applyFont="1" applyFill="1" applyAlignment="1">
      <alignment horizontal="center"/>
    </xf>
    <xf numFmtId="164" fontId="66" fillId="0" borderId="0" xfId="0" applyNumberFormat="1" applyFont="1" applyAlignment="1">
      <alignment horizontal="center"/>
    </xf>
    <xf numFmtId="0" fontId="67" fillId="0" borderId="0" xfId="0" applyFont="1"/>
    <xf numFmtId="0" fontId="66" fillId="0" borderId="0" xfId="0" applyFont="1"/>
    <xf numFmtId="165" fontId="66" fillId="0" borderId="0" xfId="0" applyNumberFormat="1" applyFont="1" applyAlignment="1">
      <alignment horizontal="right"/>
    </xf>
    <xf numFmtId="165" fontId="66" fillId="0" borderId="0" xfId="0" applyNumberFormat="1" applyFont="1" applyAlignment="1">
      <alignment horizontal="center"/>
    </xf>
    <xf numFmtId="2" fontId="66" fillId="0" borderId="18" xfId="0" applyNumberFormat="1" applyFont="1" applyBorder="1" applyAlignment="1">
      <alignment horizontal="center"/>
    </xf>
    <xf numFmtId="2" fontId="66" fillId="0" borderId="0" xfId="0" applyNumberFormat="1" applyFont="1" applyAlignment="1">
      <alignment horizontal="center"/>
    </xf>
    <xf numFmtId="2" fontId="66" fillId="0" borderId="0" xfId="0" applyNumberFormat="1" applyFont="1"/>
    <xf numFmtId="165" fontId="66" fillId="0" borderId="0" xfId="0" applyNumberFormat="1" applyFont="1"/>
    <xf numFmtId="164" fontId="66" fillId="5" borderId="0" xfId="0" applyNumberFormat="1" applyFont="1" applyFill="1" applyAlignment="1">
      <alignment horizontal="center"/>
    </xf>
    <xf numFmtId="165" fontId="64" fillId="5" borderId="0" xfId="0" applyNumberFormat="1" applyFont="1" applyFill="1" applyAlignment="1">
      <alignment horizontal="center"/>
    </xf>
    <xf numFmtId="0" fontId="10" fillId="0" borderId="18" xfId="0" applyFont="1" applyBorder="1" applyAlignment="1">
      <alignment horizontal="left"/>
    </xf>
    <xf numFmtId="2" fontId="10" fillId="5" borderId="0" xfId="0" applyNumberFormat="1" applyFont="1" applyFill="1" applyAlignment="1">
      <alignment horizontal="center"/>
    </xf>
    <xf numFmtId="2" fontId="10" fillId="5" borderId="18" xfId="0" applyNumberFormat="1" applyFont="1" applyFill="1" applyBorder="1" applyAlignment="1">
      <alignment horizontal="center"/>
    </xf>
    <xf numFmtId="0" fontId="68" fillId="0" borderId="0" xfId="0" applyFont="1"/>
    <xf numFmtId="0" fontId="69" fillId="0" borderId="0" xfId="0" applyFont="1"/>
    <xf numFmtId="0" fontId="68" fillId="0" borderId="17" xfId="0" applyFont="1" applyBorder="1"/>
    <xf numFmtId="0" fontId="69" fillId="0" borderId="17" xfId="0" applyFont="1" applyBorder="1"/>
    <xf numFmtId="0" fontId="70" fillId="0" borderId="0" xfId="0" applyFont="1"/>
    <xf numFmtId="0" fontId="71" fillId="0" borderId="0" xfId="0" applyFont="1"/>
    <xf numFmtId="0" fontId="68" fillId="0" borderId="9" xfId="0" applyFont="1" applyBorder="1"/>
    <xf numFmtId="0" fontId="69" fillId="0" borderId="0" xfId="0" applyFont="1" applyAlignment="1">
      <alignment horizontal="right"/>
    </xf>
    <xf numFmtId="2" fontId="69" fillId="0" borderId="18" xfId="0" applyNumberFormat="1" applyFont="1" applyBorder="1" applyAlignment="1">
      <alignment horizontal="center"/>
    </xf>
    <xf numFmtId="165" fontId="69" fillId="0" borderId="0" xfId="0" applyNumberFormat="1" applyFont="1" applyAlignment="1">
      <alignment horizontal="center"/>
    </xf>
    <xf numFmtId="2" fontId="69" fillId="0" borderId="0" xfId="0" applyNumberFormat="1" applyFont="1" applyAlignment="1">
      <alignment horizontal="center"/>
    </xf>
    <xf numFmtId="165" fontId="72" fillId="0" borderId="0" xfId="0" applyNumberFormat="1" applyFont="1" applyAlignment="1">
      <alignment horizontal="center"/>
    </xf>
    <xf numFmtId="2" fontId="69" fillId="0" borderId="0" xfId="0" applyNumberFormat="1" applyFont="1"/>
    <xf numFmtId="165" fontId="73" fillId="0" borderId="0" xfId="0" applyNumberFormat="1" applyFont="1"/>
    <xf numFmtId="2" fontId="69" fillId="6" borderId="18" xfId="0" applyNumberFormat="1" applyFont="1" applyFill="1" applyBorder="1" applyAlignment="1">
      <alignment horizontal="center"/>
    </xf>
    <xf numFmtId="165" fontId="69" fillId="6" borderId="0" xfId="0" applyNumberFormat="1" applyFont="1" applyFill="1" applyAlignment="1">
      <alignment horizontal="center"/>
    </xf>
    <xf numFmtId="2" fontId="69" fillId="6" borderId="0" xfId="0" applyNumberFormat="1" applyFont="1" applyFill="1" applyAlignment="1">
      <alignment horizontal="center"/>
    </xf>
    <xf numFmtId="165" fontId="72" fillId="6" borderId="0" xfId="0" applyNumberFormat="1" applyFont="1" applyFill="1" applyAlignment="1">
      <alignment horizontal="center"/>
    </xf>
    <xf numFmtId="2" fontId="69" fillId="7" borderId="18" xfId="0" applyNumberFormat="1" applyFont="1" applyFill="1" applyBorder="1" applyAlignment="1">
      <alignment horizontal="center"/>
    </xf>
    <xf numFmtId="165" fontId="69" fillId="7" borderId="0" xfId="0" applyNumberFormat="1" applyFont="1" applyFill="1" applyAlignment="1">
      <alignment horizontal="center"/>
    </xf>
    <xf numFmtId="2" fontId="69" fillId="7" borderId="0" xfId="0" applyNumberFormat="1" applyFont="1" applyFill="1" applyAlignment="1">
      <alignment horizontal="center"/>
    </xf>
    <xf numFmtId="165" fontId="72" fillId="7" borderId="0" xfId="0" applyNumberFormat="1" applyFont="1" applyFill="1" applyAlignment="1">
      <alignment horizontal="center"/>
    </xf>
    <xf numFmtId="2" fontId="69" fillId="8" borderId="18" xfId="0" applyNumberFormat="1" applyFont="1" applyFill="1" applyBorder="1" applyAlignment="1">
      <alignment horizontal="center"/>
    </xf>
    <xf numFmtId="165" fontId="69" fillId="8" borderId="0" xfId="0" applyNumberFormat="1" applyFont="1" applyFill="1" applyAlignment="1">
      <alignment horizontal="center"/>
    </xf>
    <xf numFmtId="2" fontId="69" fillId="8" borderId="0" xfId="0" applyNumberFormat="1" applyFont="1" applyFill="1" applyAlignment="1">
      <alignment horizontal="center"/>
    </xf>
    <xf numFmtId="165" fontId="72" fillId="8" borderId="0" xfId="0" applyNumberFormat="1" applyFont="1" applyFill="1" applyAlignment="1">
      <alignment horizontal="center"/>
    </xf>
    <xf numFmtId="0" fontId="74" fillId="0" borderId="0" xfId="0" applyFont="1"/>
    <xf numFmtId="0" fontId="75" fillId="0" borderId="0" xfId="0" applyFont="1" applyAlignment="1">
      <alignment horizontal="center"/>
    </xf>
    <xf numFmtId="165" fontId="69" fillId="0" borderId="0" xfId="0" applyNumberFormat="1" applyFont="1" applyAlignment="1">
      <alignment horizontal="right"/>
    </xf>
    <xf numFmtId="165" fontId="69" fillId="0" borderId="0" xfId="0" applyNumberFormat="1" applyFont="1"/>
    <xf numFmtId="0" fontId="68" fillId="0" borderId="0" xfId="0" applyFont="1" applyAlignment="1">
      <alignment horizontal="center"/>
    </xf>
    <xf numFmtId="2" fontId="68" fillId="0" borderId="0" xfId="0" applyNumberFormat="1" applyFont="1" applyAlignment="1">
      <alignment horizontal="center"/>
    </xf>
    <xf numFmtId="0" fontId="76" fillId="0" borderId="0" xfId="0" applyFont="1" applyAlignment="1">
      <alignment horizontal="center"/>
    </xf>
    <xf numFmtId="164" fontId="68" fillId="0" borderId="0" xfId="0" quotePrefix="1" applyNumberFormat="1" applyFont="1" applyAlignment="1">
      <alignment horizontal="center"/>
    </xf>
    <xf numFmtId="165" fontId="68" fillId="0" borderId="0" xfId="0" applyNumberFormat="1" applyFont="1" applyAlignment="1">
      <alignment horizontal="right"/>
    </xf>
    <xf numFmtId="2" fontId="68" fillId="0" borderId="0" xfId="0" applyNumberFormat="1" applyFont="1"/>
    <xf numFmtId="165" fontId="68" fillId="0" borderId="0" xfId="0" applyNumberFormat="1" applyFont="1"/>
    <xf numFmtId="2" fontId="68" fillId="0" borderId="17" xfId="0" applyNumberFormat="1" applyFont="1" applyBorder="1" applyAlignment="1">
      <alignment horizontal="center"/>
    </xf>
    <xf numFmtId="0" fontId="76" fillId="0" borderId="17" xfId="0" applyFont="1" applyBorder="1" applyAlignment="1">
      <alignment horizontal="center"/>
    </xf>
    <xf numFmtId="164" fontId="68" fillId="0" borderId="17" xfId="0" applyNumberFormat="1" applyFont="1" applyBorder="1" applyAlignment="1">
      <alignment horizontal="center"/>
    </xf>
    <xf numFmtId="165" fontId="68" fillId="0" borderId="17" xfId="0" applyNumberFormat="1" applyFont="1" applyBorder="1" applyAlignment="1">
      <alignment horizontal="right"/>
    </xf>
    <xf numFmtId="2" fontId="68" fillId="0" borderId="19" xfId="0" applyNumberFormat="1" applyFont="1" applyBorder="1" applyAlignment="1">
      <alignment horizontal="center"/>
    </xf>
    <xf numFmtId="165" fontId="68" fillId="0" borderId="17" xfId="0" applyNumberFormat="1" applyFont="1" applyBorder="1" applyAlignment="1">
      <alignment horizontal="center"/>
    </xf>
    <xf numFmtId="0" fontId="74" fillId="0" borderId="17" xfId="0" applyFont="1" applyBorder="1"/>
    <xf numFmtId="164" fontId="69" fillId="0" borderId="0" xfId="0" applyNumberFormat="1" applyFont="1" applyAlignment="1">
      <alignment horizontal="center"/>
    </xf>
    <xf numFmtId="2" fontId="70" fillId="0" borderId="0" xfId="0" applyNumberFormat="1" applyFont="1" applyAlignment="1">
      <alignment horizontal="center"/>
    </xf>
    <xf numFmtId="164" fontId="70" fillId="0" borderId="0" xfId="0" applyNumberFormat="1" applyFont="1" applyAlignment="1">
      <alignment horizontal="center"/>
    </xf>
    <xf numFmtId="165" fontId="70" fillId="0" borderId="0" xfId="0" applyNumberFormat="1" applyFont="1" applyAlignment="1">
      <alignment horizontal="right"/>
    </xf>
    <xf numFmtId="2" fontId="70" fillId="0" borderId="18" xfId="0" applyNumberFormat="1" applyFont="1" applyBorder="1" applyAlignment="1">
      <alignment horizontal="center"/>
    </xf>
    <xf numFmtId="165" fontId="70" fillId="0" borderId="0" xfId="0" applyNumberFormat="1" applyFont="1" applyAlignment="1">
      <alignment horizontal="center"/>
    </xf>
    <xf numFmtId="2" fontId="70" fillId="0" borderId="0" xfId="0" applyNumberFormat="1" applyFont="1"/>
    <xf numFmtId="165" fontId="70" fillId="0" borderId="0" xfId="0" applyNumberFormat="1" applyFont="1"/>
    <xf numFmtId="2" fontId="71" fillId="0" borderId="0" xfId="0" applyNumberFormat="1" applyFont="1" applyAlignment="1">
      <alignment horizontal="center"/>
    </xf>
    <xf numFmtId="0" fontId="77" fillId="0" borderId="0" xfId="0" applyFont="1" applyAlignment="1">
      <alignment horizontal="center"/>
    </xf>
    <xf numFmtId="164" fontId="71" fillId="0" borderId="0" xfId="0" applyNumberFormat="1" applyFont="1" applyAlignment="1">
      <alignment horizontal="center"/>
    </xf>
    <xf numFmtId="165" fontId="71" fillId="0" borderId="0" xfId="0" applyNumberFormat="1" applyFont="1" applyAlignment="1">
      <alignment horizontal="right"/>
    </xf>
    <xf numFmtId="2" fontId="71" fillId="0" borderId="18" xfId="0" applyNumberFormat="1" applyFont="1" applyBorder="1" applyAlignment="1">
      <alignment horizontal="center"/>
    </xf>
    <xf numFmtId="165" fontId="71" fillId="0" borderId="0" xfId="0" applyNumberFormat="1" applyFont="1" applyAlignment="1">
      <alignment horizontal="center"/>
    </xf>
    <xf numFmtId="2" fontId="71" fillId="0" borderId="0" xfId="0" applyNumberFormat="1" applyFont="1"/>
    <xf numFmtId="165" fontId="71" fillId="0" borderId="0" xfId="0" applyNumberFormat="1" applyFont="1"/>
    <xf numFmtId="2" fontId="68" fillId="0" borderId="9" xfId="0" applyNumberFormat="1" applyFont="1" applyBorder="1" applyAlignment="1">
      <alignment horizontal="center"/>
    </xf>
    <xf numFmtId="0" fontId="76" fillId="0" borderId="9" xfId="0" applyFont="1" applyBorder="1" applyAlignment="1">
      <alignment horizontal="center"/>
    </xf>
    <xf numFmtId="164" fontId="68" fillId="0" borderId="9" xfId="0" applyNumberFormat="1" applyFont="1" applyBorder="1" applyAlignment="1">
      <alignment horizontal="center"/>
    </xf>
    <xf numFmtId="165" fontId="68" fillId="0" borderId="9" xfId="0" applyNumberFormat="1" applyFont="1" applyBorder="1" applyAlignment="1">
      <alignment horizontal="right"/>
    </xf>
    <xf numFmtId="2" fontId="68" fillId="0" borderId="20" xfId="0" applyNumberFormat="1" applyFont="1" applyBorder="1" applyAlignment="1">
      <alignment horizontal="center"/>
    </xf>
    <xf numFmtId="165" fontId="68" fillId="0" borderId="9" xfId="0" applyNumberFormat="1" applyFont="1" applyBorder="1" applyAlignment="1">
      <alignment horizontal="center"/>
    </xf>
    <xf numFmtId="2" fontId="68" fillId="0" borderId="9" xfId="0" applyNumberFormat="1" applyFont="1" applyBorder="1"/>
    <xf numFmtId="165" fontId="68" fillId="0" borderId="9" xfId="0" applyNumberFormat="1" applyFont="1" applyBorder="1"/>
    <xf numFmtId="0" fontId="74" fillId="0" borderId="9" xfId="0" applyFont="1" applyBorder="1"/>
    <xf numFmtId="164" fontId="68" fillId="0" borderId="0" xfId="0" applyNumberFormat="1" applyFont="1" applyAlignment="1">
      <alignment horizontal="center"/>
    </xf>
    <xf numFmtId="2" fontId="68" fillId="0" borderId="18" xfId="0" applyNumberFormat="1" applyFont="1" applyBorder="1" applyAlignment="1">
      <alignment horizontal="center"/>
    </xf>
    <xf numFmtId="165" fontId="68" fillId="0" borderId="0" xfId="0" applyNumberFormat="1" applyFont="1" applyAlignment="1">
      <alignment horizontal="center"/>
    </xf>
    <xf numFmtId="0" fontId="68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0" fontId="75" fillId="0" borderId="0" xfId="0" applyFont="1" applyAlignment="1">
      <alignment horizontal="left"/>
    </xf>
    <xf numFmtId="165" fontId="68" fillId="0" borderId="21" xfId="0" applyNumberFormat="1" applyFont="1" applyBorder="1" applyAlignment="1">
      <alignment horizontal="right"/>
    </xf>
    <xf numFmtId="165" fontId="68" fillId="0" borderId="21" xfId="0" applyNumberFormat="1" applyFont="1" applyBorder="1" applyAlignment="1">
      <alignment horizontal="center"/>
    </xf>
    <xf numFmtId="165" fontId="74" fillId="0" borderId="0" xfId="0" applyNumberFormat="1" applyFont="1"/>
    <xf numFmtId="0" fontId="75" fillId="0" borderId="17" xfId="0" applyFont="1" applyBorder="1" applyAlignment="1">
      <alignment horizontal="center"/>
    </xf>
    <xf numFmtId="164" fontId="69" fillId="0" borderId="17" xfId="0" applyNumberFormat="1" applyFont="1" applyBorder="1" applyAlignment="1">
      <alignment horizontal="center"/>
    </xf>
    <xf numFmtId="165" fontId="68" fillId="0" borderId="22" xfId="0" applyNumberFormat="1" applyFont="1" applyBorder="1" applyAlignment="1">
      <alignment horizontal="right"/>
    </xf>
    <xf numFmtId="9" fontId="68" fillId="0" borderId="0" xfId="3" applyFont="1" applyAlignment="1">
      <alignment horizontal="center"/>
    </xf>
    <xf numFmtId="0" fontId="69" fillId="0" borderId="9" xfId="0" applyFont="1" applyBorder="1"/>
    <xf numFmtId="0" fontId="69" fillId="0" borderId="9" xfId="0" applyFont="1" applyBorder="1" applyAlignment="1">
      <alignment horizontal="center"/>
    </xf>
    <xf numFmtId="165" fontId="69" fillId="0" borderId="21" xfId="0" applyNumberFormat="1" applyFont="1" applyBorder="1" applyAlignment="1">
      <alignment horizontal="right"/>
    </xf>
    <xf numFmtId="2" fontId="69" fillId="0" borderId="20" xfId="0" applyNumberFormat="1" applyFont="1" applyBorder="1" applyAlignment="1">
      <alignment horizontal="center"/>
    </xf>
    <xf numFmtId="165" fontId="69" fillId="0" borderId="9" xfId="0" applyNumberFormat="1" applyFont="1" applyBorder="1" applyAlignment="1">
      <alignment horizontal="center"/>
    </xf>
    <xf numFmtId="2" fontId="69" fillId="0" borderId="9" xfId="0" applyNumberFormat="1" applyFont="1" applyBorder="1" applyAlignment="1">
      <alignment horizontal="center"/>
    </xf>
    <xf numFmtId="2" fontId="69" fillId="0" borderId="9" xfId="0" applyNumberFormat="1" applyFont="1" applyBorder="1"/>
    <xf numFmtId="165" fontId="69" fillId="0" borderId="9" xfId="0" applyNumberFormat="1" applyFont="1" applyBorder="1"/>
    <xf numFmtId="9" fontId="69" fillId="0" borderId="0" xfId="3" applyFont="1" applyAlignment="1">
      <alignment horizontal="center"/>
    </xf>
    <xf numFmtId="165" fontId="69" fillId="0" borderId="9" xfId="0" applyNumberFormat="1" applyFont="1" applyBorder="1" applyAlignment="1">
      <alignment horizontal="right"/>
    </xf>
    <xf numFmtId="0" fontId="68" fillId="0" borderId="9" xfId="0" applyFont="1" applyBorder="1" applyAlignment="1">
      <alignment horizontal="center"/>
    </xf>
    <xf numFmtId="165" fontId="68" fillId="0" borderId="22" xfId="0" applyNumberFormat="1" applyFont="1" applyBorder="1" applyAlignment="1">
      <alignment horizontal="center"/>
    </xf>
    <xf numFmtId="2" fontId="68" fillId="6" borderId="18" xfId="0" applyNumberFormat="1" applyFont="1" applyFill="1" applyBorder="1" applyAlignment="1">
      <alignment horizontal="center"/>
    </xf>
    <xf numFmtId="165" fontId="68" fillId="6" borderId="0" xfId="0" applyNumberFormat="1" applyFont="1" applyFill="1" applyAlignment="1">
      <alignment horizontal="center"/>
    </xf>
    <xf numFmtId="2" fontId="68" fillId="6" borderId="0" xfId="0" applyNumberFormat="1" applyFont="1" applyFill="1" applyAlignment="1">
      <alignment horizontal="center"/>
    </xf>
    <xf numFmtId="2" fontId="68" fillId="7" borderId="18" xfId="0" applyNumberFormat="1" applyFont="1" applyFill="1" applyBorder="1" applyAlignment="1">
      <alignment horizontal="center"/>
    </xf>
    <xf numFmtId="165" fontId="68" fillId="7" borderId="0" xfId="0" applyNumberFormat="1" applyFont="1" applyFill="1" applyAlignment="1">
      <alignment horizontal="center"/>
    </xf>
    <xf numFmtId="2" fontId="68" fillId="7" borderId="0" xfId="0" applyNumberFormat="1" applyFont="1" applyFill="1" applyAlignment="1">
      <alignment horizontal="center"/>
    </xf>
    <xf numFmtId="2" fontId="68" fillId="8" borderId="18" xfId="0" applyNumberFormat="1" applyFont="1" applyFill="1" applyBorder="1" applyAlignment="1">
      <alignment horizontal="center"/>
    </xf>
    <xf numFmtId="165" fontId="68" fillId="8" borderId="0" xfId="0" applyNumberFormat="1" applyFont="1" applyFill="1" applyAlignment="1">
      <alignment horizontal="center"/>
    </xf>
    <xf numFmtId="2" fontId="68" fillId="8" borderId="0" xfId="0" applyNumberFormat="1" applyFont="1" applyFill="1" applyAlignment="1">
      <alignment horizontal="center"/>
    </xf>
    <xf numFmtId="2" fontId="78" fillId="9" borderId="18" xfId="0" applyNumberFormat="1" applyFont="1" applyFill="1" applyBorder="1" applyAlignment="1">
      <alignment horizontal="center"/>
    </xf>
    <xf numFmtId="165" fontId="78" fillId="9" borderId="0" xfId="0" applyNumberFormat="1" applyFont="1" applyFill="1" applyAlignment="1">
      <alignment horizontal="center"/>
    </xf>
    <xf numFmtId="2" fontId="78" fillId="9" borderId="0" xfId="0" applyNumberFormat="1" applyFont="1" applyFill="1" applyAlignment="1">
      <alignment horizontal="center"/>
    </xf>
    <xf numFmtId="2" fontId="78" fillId="9" borderId="0" xfId="0" applyNumberFormat="1" applyFont="1" applyFill="1"/>
    <xf numFmtId="165" fontId="78" fillId="9" borderId="0" xfId="0" applyNumberFormat="1" applyFont="1" applyFill="1"/>
    <xf numFmtId="2" fontId="74" fillId="0" borderId="18" xfId="0" applyNumberFormat="1" applyFont="1" applyBorder="1" applyAlignment="1">
      <alignment horizontal="center"/>
    </xf>
    <xf numFmtId="165" fontId="74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9" fontId="68" fillId="0" borderId="0" xfId="3" applyFont="1" applyFill="1" applyAlignment="1">
      <alignment horizontal="center"/>
    </xf>
    <xf numFmtId="9" fontId="9" fillId="0" borderId="0" xfId="3" applyFont="1" applyFill="1" applyAlignment="1">
      <alignment horizontal="center"/>
    </xf>
    <xf numFmtId="9" fontId="7" fillId="0" borderId="0" xfId="3" applyFont="1" applyFill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2" fontId="1" fillId="0" borderId="18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5" fontId="0" fillId="5" borderId="0" xfId="0" applyNumberFormat="1" applyFill="1" applyAlignment="1">
      <alignment horizontal="center"/>
    </xf>
    <xf numFmtId="42" fontId="0" fillId="0" borderId="7" xfId="0" applyNumberFormat="1" applyBorder="1"/>
    <xf numFmtId="2" fontId="0" fillId="3" borderId="1" xfId="0" applyNumberFormat="1" applyFill="1" applyBorder="1"/>
    <xf numFmtId="2" fontId="0" fillId="3" borderId="6" xfId="0" applyNumberFormat="1" applyFill="1" applyBorder="1"/>
    <xf numFmtId="0" fontId="9" fillId="2" borderId="6" xfId="0" applyFont="1" applyFill="1" applyBorder="1"/>
    <xf numFmtId="2" fontId="0" fillId="3" borderId="25" xfId="0" applyNumberFormat="1" applyFill="1" applyBorder="1"/>
    <xf numFmtId="0" fontId="0" fillId="3" borderId="25" xfId="0" applyFill="1" applyBorder="1" applyAlignment="1">
      <alignment horizontal="center"/>
    </xf>
    <xf numFmtId="0" fontId="1" fillId="0" borderId="0" xfId="2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wrapText="1"/>
    </xf>
    <xf numFmtId="42" fontId="0" fillId="2" borderId="9" xfId="0" applyNumberFormat="1" applyFill="1" applyBorder="1" applyAlignment="1">
      <alignment wrapText="1"/>
    </xf>
    <xf numFmtId="42" fontId="0" fillId="2" borderId="2" xfId="0" applyNumberFormat="1" applyFill="1" applyBorder="1" applyAlignment="1">
      <alignment wrapText="1"/>
    </xf>
    <xf numFmtId="42" fontId="0" fillId="0" borderId="0" xfId="0" applyNumberFormat="1" applyAlignment="1">
      <alignment wrapText="1"/>
    </xf>
    <xf numFmtId="0" fontId="0" fillId="2" borderId="15" xfId="0" applyFill="1" applyBorder="1" applyAlignment="1">
      <alignment horizontal="center" wrapText="1"/>
    </xf>
    <xf numFmtId="42" fontId="9" fillId="2" borderId="15" xfId="0" applyNumberFormat="1" applyFont="1" applyFill="1" applyBorder="1" applyAlignment="1">
      <alignment wrapText="1"/>
    </xf>
    <xf numFmtId="10" fontId="0" fillId="0" borderId="0" xfId="0" applyNumberFormat="1" applyAlignment="1">
      <alignment wrapText="1"/>
    </xf>
    <xf numFmtId="10" fontId="7" fillId="0" borderId="0" xfId="3" applyNumberFormat="1" applyFont="1" applyAlignment="1">
      <alignment wrapText="1"/>
    </xf>
    <xf numFmtId="0" fontId="0" fillId="2" borderId="3" xfId="0" applyFill="1" applyBorder="1" applyAlignment="1">
      <alignment horizontal="center" wrapText="1"/>
    </xf>
    <xf numFmtId="0" fontId="80" fillId="0" borderId="0" xfId="0" applyFont="1"/>
    <xf numFmtId="0" fontId="81" fillId="0" borderId="0" xfId="0" applyFont="1"/>
    <xf numFmtId="0" fontId="81" fillId="0" borderId="0" xfId="0" applyFont="1" applyAlignment="1">
      <alignment horizontal="center"/>
    </xf>
    <xf numFmtId="0" fontId="81" fillId="0" borderId="0" xfId="0" applyFont="1" applyAlignment="1">
      <alignment wrapText="1"/>
    </xf>
    <xf numFmtId="0" fontId="82" fillId="0" borderId="0" xfId="0" applyFont="1"/>
    <xf numFmtId="0" fontId="83" fillId="0" borderId="0" xfId="0" applyFont="1"/>
    <xf numFmtId="0" fontId="83" fillId="0" borderId="0" xfId="0" applyFont="1" applyAlignment="1">
      <alignment horizontal="center"/>
    </xf>
    <xf numFmtId="0" fontId="83" fillId="0" borderId="0" xfId="0" applyFont="1" applyAlignment="1">
      <alignment wrapText="1"/>
    </xf>
    <xf numFmtId="0" fontId="84" fillId="0" borderId="4" xfId="0" applyFont="1" applyBorder="1" applyAlignment="1">
      <alignment horizontal="center" wrapText="1"/>
    </xf>
    <xf numFmtId="0" fontId="79" fillId="0" borderId="0" xfId="0" applyFont="1" applyAlignment="1">
      <alignment horizontal="left" vertical="top" wrapText="1"/>
    </xf>
    <xf numFmtId="0" fontId="85" fillId="0" borderId="0" xfId="0" applyFont="1"/>
    <xf numFmtId="0" fontId="0" fillId="0" borderId="0" xfId="0" applyAlignment="1">
      <alignment horizontal="center" vertical="center" wrapText="1"/>
    </xf>
    <xf numFmtId="42" fontId="79" fillId="0" borderId="0" xfId="0" applyNumberFormat="1" applyFont="1" applyAlignment="1">
      <alignment vertical="top" wrapText="1"/>
    </xf>
    <xf numFmtId="42" fontId="0" fillId="0" borderId="0" xfId="0" applyNumberFormat="1" applyAlignment="1">
      <alignment horizontal="left" vertical="top" wrapText="1"/>
    </xf>
    <xf numFmtId="42" fontId="86" fillId="11" borderId="7" xfId="4" applyNumberFormat="1" applyBorder="1"/>
    <xf numFmtId="42" fontId="0" fillId="3" borderId="0" xfId="0" applyNumberFormat="1" applyFill="1" applyAlignment="1">
      <alignment wrapText="1"/>
    </xf>
    <xf numFmtId="0" fontId="1" fillId="0" borderId="6" xfId="2" applyBorder="1"/>
    <xf numFmtId="0" fontId="1" fillId="0" borderId="0" xfId="2" applyAlignment="1">
      <alignment wrapText="1"/>
    </xf>
    <xf numFmtId="0" fontId="1" fillId="0" borderId="7" xfId="2" applyBorder="1"/>
    <xf numFmtId="0" fontId="0" fillId="2" borderId="0" xfId="0" applyFill="1"/>
    <xf numFmtId="0" fontId="0" fillId="2" borderId="0" xfId="0" applyFill="1" applyAlignment="1">
      <alignment horizontal="center"/>
    </xf>
    <xf numFmtId="42" fontId="0" fillId="2" borderId="0" xfId="0" applyNumberFormat="1" applyFill="1"/>
    <xf numFmtId="42" fontId="0" fillId="2" borderId="0" xfId="0" applyNumberFormat="1" applyFill="1" applyAlignment="1">
      <alignment wrapText="1"/>
    </xf>
    <xf numFmtId="166" fontId="0" fillId="3" borderId="0" xfId="1" applyNumberFormat="1" applyFont="1" applyFill="1" applyBorder="1" applyAlignment="1">
      <alignment wrapText="1"/>
    </xf>
    <xf numFmtId="0" fontId="0" fillId="2" borderId="16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42" fontId="0" fillId="4" borderId="0" xfId="0" applyNumberFormat="1" applyFill="1" applyAlignment="1">
      <alignment wrapText="1"/>
    </xf>
    <xf numFmtId="166" fontId="0" fillId="4" borderId="0" xfId="1" applyNumberFormat="1" applyFont="1" applyFill="1" applyBorder="1" applyAlignment="1">
      <alignment wrapText="1"/>
    </xf>
    <xf numFmtId="10" fontId="14" fillId="0" borderId="28" xfId="0" applyNumberFormat="1" applyFont="1" applyBorder="1" applyAlignment="1">
      <alignment wrapText="1"/>
    </xf>
    <xf numFmtId="42" fontId="14" fillId="0" borderId="28" xfId="0" applyNumberFormat="1" applyFont="1" applyBorder="1" applyAlignment="1">
      <alignment wrapText="1"/>
    </xf>
    <xf numFmtId="42" fontId="14" fillId="0" borderId="28" xfId="0" applyNumberFormat="1" applyFont="1" applyBorder="1"/>
    <xf numFmtId="42" fontId="14" fillId="0" borderId="29" xfId="0" applyNumberFormat="1" applyFont="1" applyBorder="1"/>
    <xf numFmtId="9" fontId="0" fillId="0" borderId="0" xfId="3" applyFont="1" applyBorder="1"/>
    <xf numFmtId="9" fontId="0" fillId="0" borderId="26" xfId="3" applyFont="1" applyBorder="1"/>
    <xf numFmtId="0" fontId="0" fillId="0" borderId="18" xfId="0" applyBorder="1" applyAlignment="1">
      <alignment horizontal="right"/>
    </xf>
    <xf numFmtId="0" fontId="14" fillId="0" borderId="27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10" fontId="0" fillId="0" borderId="9" xfId="0" applyNumberFormat="1" applyBorder="1" applyAlignment="1">
      <alignment wrapText="1"/>
    </xf>
    <xf numFmtId="10" fontId="0" fillId="0" borderId="21" xfId="0" applyNumberFormat="1" applyBorder="1" applyAlignment="1">
      <alignment wrapText="1"/>
    </xf>
    <xf numFmtId="0" fontId="68" fillId="0" borderId="18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6" borderId="18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68" fillId="7" borderId="18" xfId="0" applyFont="1" applyFill="1" applyBorder="1" applyAlignment="1">
      <alignment horizontal="center"/>
    </xf>
    <xf numFmtId="0" fontId="68" fillId="7" borderId="0" xfId="0" applyFont="1" applyFill="1" applyAlignment="1">
      <alignment horizontal="center"/>
    </xf>
    <xf numFmtId="0" fontId="68" fillId="8" borderId="18" xfId="0" applyFont="1" applyFill="1" applyBorder="1" applyAlignment="1">
      <alignment horizontal="center"/>
    </xf>
    <xf numFmtId="0" fontId="68" fillId="8" borderId="0" xfId="0" applyFont="1" applyFill="1" applyAlignment="1">
      <alignment horizontal="center"/>
    </xf>
    <xf numFmtId="0" fontId="78" fillId="9" borderId="18" xfId="0" applyFont="1" applyFill="1" applyBorder="1" applyAlignment="1">
      <alignment horizontal="center"/>
    </xf>
    <xf numFmtId="0" fontId="78" fillId="9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left" vertical="top" wrapText="1"/>
    </xf>
    <xf numFmtId="42" fontId="79" fillId="0" borderId="0" xfId="0" applyNumberFormat="1" applyFont="1" applyAlignment="1">
      <alignment vertical="top" wrapText="1"/>
    </xf>
    <xf numFmtId="0" fontId="0" fillId="0" borderId="2" xfId="0" applyBorder="1" applyAlignment="1">
      <alignment horizontal="center" vertical="center" wrapText="1"/>
    </xf>
  </cellXfs>
  <cellStyles count="5">
    <cellStyle name="Currency" xfId="1" builtinId="4"/>
    <cellStyle name="Good" xfId="4" builtinId="26"/>
    <cellStyle name="Normal" xfId="0" builtinId="0"/>
    <cellStyle name="Normal 2" xfId="2" xr:uid="{00000000-0005-0000-0000-000002000000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workbookViewId="0">
      <selection activeCell="B10" sqref="B10"/>
    </sheetView>
  </sheetViews>
  <sheetFormatPr defaultRowHeight="14.5" x14ac:dyDescent="0.35"/>
  <sheetData>
    <row r="1" spans="1:3" x14ac:dyDescent="0.35">
      <c r="A1" s="140" t="s">
        <v>0</v>
      </c>
    </row>
    <row r="2" spans="1:3" x14ac:dyDescent="0.35">
      <c r="A2" t="s">
        <v>1</v>
      </c>
      <c r="B2" t="s">
        <v>2</v>
      </c>
    </row>
    <row r="3" spans="1:3" x14ac:dyDescent="0.35">
      <c r="B3" t="s">
        <v>3</v>
      </c>
      <c r="C3" t="s">
        <v>4</v>
      </c>
    </row>
    <row r="4" spans="1:3" x14ac:dyDescent="0.35">
      <c r="B4" t="s">
        <v>5</v>
      </c>
      <c r="C4" t="s">
        <v>6</v>
      </c>
    </row>
    <row r="5" spans="1:3" x14ac:dyDescent="0.35">
      <c r="A5" t="s">
        <v>7</v>
      </c>
      <c r="B5" t="s">
        <v>8</v>
      </c>
    </row>
    <row r="6" spans="1:3" x14ac:dyDescent="0.35">
      <c r="A6" t="s">
        <v>9</v>
      </c>
      <c r="B6" t="s">
        <v>10</v>
      </c>
    </row>
    <row r="7" spans="1:3" x14ac:dyDescent="0.35">
      <c r="A7" t="s">
        <v>11</v>
      </c>
      <c r="B7" t="s">
        <v>12</v>
      </c>
    </row>
    <row r="8" spans="1:3" x14ac:dyDescent="0.35">
      <c r="A8" t="s">
        <v>13</v>
      </c>
      <c r="B8" t="s">
        <v>14</v>
      </c>
    </row>
    <row r="15" spans="1:3" x14ac:dyDescent="0.35">
      <c r="A15" s="140" t="s">
        <v>15</v>
      </c>
      <c r="B15" s="4"/>
    </row>
    <row r="16" spans="1:3" x14ac:dyDescent="0.35">
      <c r="A16" t="s">
        <v>16</v>
      </c>
      <c r="B16" t="s">
        <v>17</v>
      </c>
    </row>
    <row r="17" spans="1:2" x14ac:dyDescent="0.35">
      <c r="A17" t="s">
        <v>18</v>
      </c>
      <c r="B17" t="s">
        <v>19</v>
      </c>
    </row>
    <row r="18" spans="1:2" x14ac:dyDescent="0.35">
      <c r="A18" t="s">
        <v>20</v>
      </c>
      <c r="B18" t="s">
        <v>21</v>
      </c>
    </row>
    <row r="19" spans="1:2" x14ac:dyDescent="0.35">
      <c r="A19" t="s">
        <v>22</v>
      </c>
      <c r="B19" t="s">
        <v>23</v>
      </c>
    </row>
    <row r="20" spans="1:2" x14ac:dyDescent="0.35">
      <c r="A20" t="s">
        <v>24</v>
      </c>
      <c r="B20" t="s">
        <v>25</v>
      </c>
    </row>
    <row r="21" spans="1:2" x14ac:dyDescent="0.35">
      <c r="A21" t="s">
        <v>26</v>
      </c>
      <c r="B21" t="s">
        <v>27</v>
      </c>
    </row>
    <row r="22" spans="1:2" x14ac:dyDescent="0.35">
      <c r="A22" t="s">
        <v>28</v>
      </c>
      <c r="B22" t="s">
        <v>29</v>
      </c>
    </row>
    <row r="23" spans="1:2" x14ac:dyDescent="0.35">
      <c r="A23" t="s">
        <v>30</v>
      </c>
      <c r="B23" t="s">
        <v>31</v>
      </c>
    </row>
    <row r="24" spans="1:2" x14ac:dyDescent="0.35">
      <c r="A24" t="s">
        <v>32</v>
      </c>
      <c r="B24" t="s">
        <v>33</v>
      </c>
    </row>
    <row r="25" spans="1:2" x14ac:dyDescent="0.35">
      <c r="A25" t="s">
        <v>34</v>
      </c>
      <c r="B25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U36"/>
  <sheetViews>
    <sheetView topLeftCell="B16" workbookViewId="0">
      <selection activeCell="A33" sqref="A33"/>
    </sheetView>
  </sheetViews>
  <sheetFormatPr defaultRowHeight="14.5" x14ac:dyDescent="0.35"/>
  <cols>
    <col min="1" max="1" width="31.7265625" customWidth="1"/>
    <col min="2" max="2" width="8" style="122" customWidth="1"/>
    <col min="3" max="4" width="8.7265625" style="5" customWidth="1"/>
    <col min="5" max="5" width="8.453125" style="178" customWidth="1"/>
    <col min="6" max="6" width="9.54296875" style="211" customWidth="1"/>
    <col min="7" max="8" width="8.7265625" customWidth="1"/>
    <col min="9" max="9" width="8.26953125" style="4" customWidth="1"/>
    <col min="10" max="10" width="8.81640625" style="211" customWidth="1"/>
    <col min="11" max="12" width="8.7265625" customWidth="1"/>
    <col min="13" max="13" width="8.54296875" style="4" customWidth="1"/>
    <col min="14" max="14" width="9.1796875" style="211"/>
    <col min="17" max="17" width="8.54296875" style="4" customWidth="1"/>
    <col min="18" max="18" width="9.1796875" style="21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602" t="s">
        <v>204</v>
      </c>
      <c r="C2" s="593"/>
      <c r="D2" s="593"/>
      <c r="E2" s="603"/>
      <c r="F2" s="602" t="s">
        <v>205</v>
      </c>
      <c r="G2" s="593"/>
      <c r="H2" s="593"/>
      <c r="I2" s="593"/>
      <c r="J2" s="602" t="s">
        <v>206</v>
      </c>
      <c r="K2" s="593"/>
      <c r="L2" s="593"/>
      <c r="M2" s="593"/>
      <c r="N2" s="602" t="s">
        <v>207</v>
      </c>
      <c r="O2" s="593"/>
      <c r="P2" s="593"/>
      <c r="Q2" s="603"/>
      <c r="R2" s="602" t="s">
        <v>208</v>
      </c>
      <c r="S2" s="593"/>
      <c r="T2" s="593"/>
      <c r="U2" s="593"/>
    </row>
    <row r="3" spans="1:21" x14ac:dyDescent="0.35">
      <c r="A3" s="225" t="s">
        <v>107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x14ac:dyDescent="0.35">
      <c r="A5" s="277" t="s">
        <v>218</v>
      </c>
      <c r="E5" s="214">
        <f>+E7+E12</f>
        <v>1900</v>
      </c>
      <c r="F5" s="122"/>
      <c r="G5" s="5"/>
      <c r="H5" s="5"/>
      <c r="I5" s="214">
        <f>+I7+I12</f>
        <v>1900</v>
      </c>
      <c r="J5" s="122"/>
      <c r="K5" s="5"/>
      <c r="L5" s="5"/>
      <c r="M5" s="214">
        <f>+M7+M12</f>
        <v>1900</v>
      </c>
      <c r="Q5" s="214"/>
      <c r="U5" s="214"/>
    </row>
    <row r="6" spans="1:21" x14ac:dyDescent="0.35">
      <c r="A6" s="140" t="s">
        <v>326</v>
      </c>
      <c r="B6" s="122" t="s">
        <v>262</v>
      </c>
      <c r="C6" s="5" t="s">
        <v>264</v>
      </c>
      <c r="D6" s="5" t="s">
        <v>304</v>
      </c>
      <c r="E6" s="215"/>
      <c r="F6" s="122" t="s">
        <v>262</v>
      </c>
      <c r="G6" s="5" t="s">
        <v>264</v>
      </c>
      <c r="H6" s="5" t="s">
        <v>304</v>
      </c>
      <c r="I6" s="215"/>
      <c r="J6" s="122" t="s">
        <v>262</v>
      </c>
      <c r="K6" s="5" t="s">
        <v>264</v>
      </c>
      <c r="L6" s="5" t="s">
        <v>304</v>
      </c>
      <c r="M6" s="215"/>
      <c r="Q6" s="178"/>
      <c r="U6" s="178"/>
    </row>
    <row r="7" spans="1:21" x14ac:dyDescent="0.35">
      <c r="A7" t="s">
        <v>327</v>
      </c>
      <c r="B7" s="122">
        <v>4</v>
      </c>
      <c r="C7" s="5">
        <v>0.51</v>
      </c>
      <c r="D7" s="5">
        <v>225</v>
      </c>
      <c r="E7" s="268">
        <v>500</v>
      </c>
      <c r="F7" s="122">
        <v>4</v>
      </c>
      <c r="G7" s="5">
        <v>0.51</v>
      </c>
      <c r="H7" s="5">
        <v>225</v>
      </c>
      <c r="I7" s="268">
        <v>500</v>
      </c>
      <c r="J7" s="122">
        <v>4</v>
      </c>
      <c r="K7" s="5">
        <v>0.51</v>
      </c>
      <c r="L7" s="5">
        <v>225</v>
      </c>
      <c r="M7" s="268">
        <v>500</v>
      </c>
      <c r="Q7" s="268">
        <f>+N7*O7*P7</f>
        <v>0</v>
      </c>
      <c r="U7" s="268">
        <f>+R7*S7*T7</f>
        <v>0</v>
      </c>
    </row>
    <row r="11" spans="1:21" x14ac:dyDescent="0.35">
      <c r="A11" s="140" t="s">
        <v>228</v>
      </c>
      <c r="B11" s="122" t="s">
        <v>229</v>
      </c>
      <c r="C11" s="5" t="s">
        <v>230</v>
      </c>
      <c r="D11" s="5" t="s">
        <v>231</v>
      </c>
      <c r="F11" s="122" t="s">
        <v>229</v>
      </c>
      <c r="G11" s="5" t="s">
        <v>230</v>
      </c>
      <c r="H11" s="5" t="s">
        <v>231</v>
      </c>
      <c r="I11" s="178"/>
      <c r="J11" s="122" t="s">
        <v>229</v>
      </c>
      <c r="K11" s="5" t="s">
        <v>230</v>
      </c>
      <c r="L11" s="5" t="s">
        <v>231</v>
      </c>
      <c r="M11" s="178"/>
      <c r="Q11" s="178"/>
      <c r="U11" s="178"/>
    </row>
    <row r="12" spans="1:21" x14ac:dyDescent="0.35">
      <c r="A12" s="140" t="s">
        <v>328</v>
      </c>
      <c r="E12" s="268">
        <f>SUM(E13:E16)-27</f>
        <v>1400</v>
      </c>
      <c r="F12" s="122"/>
      <c r="G12" s="5"/>
      <c r="H12" s="5"/>
      <c r="I12" s="268">
        <f>SUM(I13:I16)-27</f>
        <v>1400</v>
      </c>
      <c r="J12" s="122"/>
      <c r="K12" s="5"/>
      <c r="L12" s="5"/>
      <c r="M12" s="268">
        <f>SUM(M13:M16)-27</f>
        <v>1400</v>
      </c>
      <c r="Q12" s="268">
        <f>SUM(Q13:Q16)</f>
        <v>0</v>
      </c>
      <c r="U12" s="268">
        <f>SUM(U13:U16)</f>
        <v>0</v>
      </c>
    </row>
    <row r="13" spans="1:21" x14ac:dyDescent="0.35">
      <c r="A13" t="s">
        <v>329</v>
      </c>
      <c r="B13" s="122">
        <v>4</v>
      </c>
      <c r="C13" s="5">
        <v>50</v>
      </c>
      <c r="E13" s="212">
        <f>+B13*C13</f>
        <v>200</v>
      </c>
      <c r="F13" s="122">
        <v>4</v>
      </c>
      <c r="G13" s="5">
        <v>50</v>
      </c>
      <c r="H13" s="5"/>
      <c r="I13" s="212">
        <f>+F13*G13</f>
        <v>200</v>
      </c>
      <c r="J13" s="122">
        <v>4</v>
      </c>
      <c r="K13" s="5">
        <v>50</v>
      </c>
      <c r="L13" s="5"/>
      <c r="M13" s="212">
        <f>+J13*K13</f>
        <v>200</v>
      </c>
    </row>
    <row r="14" spans="1:21" x14ac:dyDescent="0.35">
      <c r="A14" t="s">
        <v>330</v>
      </c>
      <c r="B14" s="122">
        <v>2</v>
      </c>
      <c r="C14" s="5">
        <f>450*0.51</f>
        <v>229.5</v>
      </c>
      <c r="E14" s="212">
        <f>+B14*C14</f>
        <v>459</v>
      </c>
      <c r="F14" s="122">
        <v>2</v>
      </c>
      <c r="G14" s="5">
        <f>450*0.51</f>
        <v>229.5</v>
      </c>
      <c r="H14" s="5"/>
      <c r="I14" s="212">
        <f>+F14*G14</f>
        <v>459</v>
      </c>
      <c r="J14" s="122">
        <v>2</v>
      </c>
      <c r="K14" s="5">
        <f>450*0.51</f>
        <v>229.5</v>
      </c>
      <c r="L14" s="5"/>
      <c r="M14" s="212">
        <f>+J14*K14</f>
        <v>459</v>
      </c>
    </row>
    <row r="15" spans="1:21" x14ac:dyDescent="0.35">
      <c r="A15" t="s">
        <v>331</v>
      </c>
      <c r="B15" s="122">
        <v>6</v>
      </c>
      <c r="C15" s="5">
        <v>108</v>
      </c>
      <c r="D15" s="5">
        <v>4</v>
      </c>
      <c r="E15" s="212">
        <f>+C15*D15</f>
        <v>432</v>
      </c>
      <c r="F15" s="122">
        <v>6</v>
      </c>
      <c r="G15" s="5">
        <v>108</v>
      </c>
      <c r="H15" s="5">
        <v>4</v>
      </c>
      <c r="I15" s="212">
        <f>+G15*H15</f>
        <v>432</v>
      </c>
      <c r="J15" s="122">
        <v>6</v>
      </c>
      <c r="K15" s="5">
        <v>108</v>
      </c>
      <c r="L15" s="5">
        <v>4</v>
      </c>
      <c r="M15" s="212">
        <f>+K15*L15</f>
        <v>432</v>
      </c>
    </row>
    <row r="16" spans="1:21" x14ac:dyDescent="0.35">
      <c r="A16" t="s">
        <v>332</v>
      </c>
      <c r="B16" s="122">
        <v>6</v>
      </c>
      <c r="C16" s="5">
        <v>56</v>
      </c>
      <c r="E16" s="212">
        <f>+B16*C16</f>
        <v>336</v>
      </c>
      <c r="F16" s="122">
        <v>6</v>
      </c>
      <c r="G16" s="5">
        <v>56</v>
      </c>
      <c r="H16" s="5"/>
      <c r="I16" s="212">
        <f>+F16*G16</f>
        <v>336</v>
      </c>
      <c r="J16" s="122">
        <v>6</v>
      </c>
      <c r="K16" s="5">
        <v>56</v>
      </c>
      <c r="L16" s="5"/>
      <c r="M16" s="212">
        <f>+J16*K16</f>
        <v>336</v>
      </c>
    </row>
    <row r="18" spans="1:21" x14ac:dyDescent="0.35">
      <c r="A18" s="116" t="s">
        <v>333</v>
      </c>
    </row>
    <row r="19" spans="1:21" x14ac:dyDescent="0.35">
      <c r="A19" s="277" t="s">
        <v>334</v>
      </c>
      <c r="E19" s="214">
        <f>+E20+E22</f>
        <v>0</v>
      </c>
      <c r="I19" s="214">
        <f>+I20+I22</f>
        <v>0</v>
      </c>
      <c r="M19" s="214">
        <f>+M20+M22</f>
        <v>0</v>
      </c>
      <c r="Q19" s="214">
        <f>+Q20+Q22</f>
        <v>0</v>
      </c>
      <c r="U19" s="214">
        <f>+U20+U22</f>
        <v>0</v>
      </c>
    </row>
    <row r="20" spans="1:21" s="46" customFormat="1" x14ac:dyDescent="0.35">
      <c r="A20" s="282" t="s">
        <v>335</v>
      </c>
      <c r="B20" s="222"/>
      <c r="C20" s="47"/>
      <c r="D20" s="47"/>
      <c r="E20" s="269">
        <v>0</v>
      </c>
      <c r="F20" s="224"/>
      <c r="I20" s="269">
        <v>0</v>
      </c>
      <c r="J20" s="224"/>
      <c r="M20" s="269">
        <v>0</v>
      </c>
      <c r="N20" s="224"/>
      <c r="Q20" s="269">
        <v>0</v>
      </c>
      <c r="R20" s="224"/>
      <c r="U20" s="269">
        <v>0</v>
      </c>
    </row>
    <row r="21" spans="1:21" s="46" customFormat="1" x14ac:dyDescent="0.35">
      <c r="B21" s="222"/>
      <c r="C21" s="47"/>
      <c r="D21" s="47"/>
      <c r="E21" s="223"/>
      <c r="F21" s="224"/>
      <c r="I21" s="223"/>
      <c r="J21" s="224"/>
      <c r="M21" s="223"/>
      <c r="N21" s="224"/>
      <c r="Q21" s="223"/>
      <c r="R21" s="224"/>
      <c r="U21" s="223"/>
    </row>
    <row r="22" spans="1:21" s="46" customFormat="1" x14ac:dyDescent="0.35">
      <c r="A22" s="282" t="s">
        <v>336</v>
      </c>
      <c r="B22" s="222"/>
      <c r="C22" s="47"/>
      <c r="D22" s="47"/>
      <c r="E22" s="269">
        <v>0</v>
      </c>
      <c r="F22" s="224"/>
      <c r="I22" s="269">
        <v>0</v>
      </c>
      <c r="J22" s="224"/>
      <c r="M22" s="269">
        <v>0</v>
      </c>
      <c r="N22" s="224"/>
      <c r="Q22" s="269">
        <v>0</v>
      </c>
      <c r="R22" s="224"/>
      <c r="U22" s="269">
        <v>0</v>
      </c>
    </row>
    <row r="24" spans="1:21" x14ac:dyDescent="0.35">
      <c r="A24" s="46"/>
    </row>
    <row r="25" spans="1:21" x14ac:dyDescent="0.35">
      <c r="A25" s="277" t="s">
        <v>337</v>
      </c>
      <c r="B25" s="122" t="s">
        <v>229</v>
      </c>
      <c r="C25" s="5" t="s">
        <v>338</v>
      </c>
      <c r="D25" s="5" t="s">
        <v>230</v>
      </c>
      <c r="E25" s="214">
        <f>SUM(E26:E27)</f>
        <v>0</v>
      </c>
      <c r="F25" s="122" t="s">
        <v>229</v>
      </c>
      <c r="G25" s="5" t="s">
        <v>338</v>
      </c>
      <c r="H25" s="5" t="s">
        <v>230</v>
      </c>
      <c r="I25" s="214">
        <f>SUM(I26:I27)</f>
        <v>0</v>
      </c>
      <c r="J25" s="122" t="s">
        <v>229</v>
      </c>
      <c r="K25" s="5" t="s">
        <v>338</v>
      </c>
      <c r="L25" s="5" t="s">
        <v>230</v>
      </c>
      <c r="M25" s="214">
        <f>SUM(M26:M27)</f>
        <v>0</v>
      </c>
      <c r="N25" s="122" t="s">
        <v>229</v>
      </c>
      <c r="O25" s="5" t="s">
        <v>338</v>
      </c>
      <c r="P25" s="5" t="s">
        <v>230</v>
      </c>
      <c r="Q25" s="214">
        <f>SUM(Q26:Q27)</f>
        <v>0</v>
      </c>
      <c r="R25" s="122" t="s">
        <v>229</v>
      </c>
      <c r="S25" s="5" t="s">
        <v>338</v>
      </c>
      <c r="T25" s="5" t="s">
        <v>230</v>
      </c>
      <c r="U25" s="214">
        <f>SUM(U26:U27)</f>
        <v>0</v>
      </c>
    </row>
    <row r="26" spans="1:21" x14ac:dyDescent="0.35">
      <c r="A26" s="271" t="s">
        <v>339</v>
      </c>
      <c r="E26" s="269">
        <f>+B26*C26*D26</f>
        <v>0</v>
      </c>
      <c r="F26" s="122"/>
      <c r="G26" s="5"/>
      <c r="H26" s="5"/>
      <c r="I26" s="269">
        <f>+F26*G26*H26</f>
        <v>0</v>
      </c>
      <c r="J26" s="122"/>
      <c r="K26" s="5"/>
      <c r="L26" s="5"/>
      <c r="M26" s="269">
        <f>+J26*K26*L26</f>
        <v>0</v>
      </c>
      <c r="N26" s="122"/>
      <c r="O26" s="5"/>
      <c r="P26" s="5"/>
      <c r="Q26" s="269">
        <f>+N26*O26*P26</f>
        <v>0</v>
      </c>
      <c r="R26" s="122"/>
      <c r="S26" s="5"/>
      <c r="T26" s="5"/>
      <c r="U26" s="269">
        <f>+R26*S26*T26</f>
        <v>0</v>
      </c>
    </row>
    <row r="27" spans="1:21" x14ac:dyDescent="0.35">
      <c r="A27" s="140"/>
    </row>
    <row r="28" spans="1:21" x14ac:dyDescent="0.35">
      <c r="A28" s="140"/>
    </row>
    <row r="29" spans="1:21" x14ac:dyDescent="0.35">
      <c r="A29" s="277" t="s">
        <v>340</v>
      </c>
      <c r="E29" s="214">
        <f>SUM(E30)</f>
        <v>0</v>
      </c>
      <c r="I29" s="214">
        <f>SUM(I30)</f>
        <v>0</v>
      </c>
      <c r="M29" s="214">
        <f>SUM(M30)</f>
        <v>0</v>
      </c>
      <c r="Q29" s="214">
        <f>SUM(Q30)</f>
        <v>0</v>
      </c>
      <c r="U29" s="214">
        <f>SUM(U30)</f>
        <v>0</v>
      </c>
    </row>
    <row r="30" spans="1:21" x14ac:dyDescent="0.35">
      <c r="A30" s="271" t="s">
        <v>341</v>
      </c>
      <c r="E30" s="269">
        <v>0</v>
      </c>
      <c r="I30" s="269">
        <v>0</v>
      </c>
      <c r="M30" s="269">
        <v>0</v>
      </c>
      <c r="Q30" s="269">
        <v>0</v>
      </c>
      <c r="U30" s="269">
        <v>0</v>
      </c>
    </row>
    <row r="31" spans="1:21" x14ac:dyDescent="0.35">
      <c r="I31" s="178"/>
      <c r="M31" s="178"/>
      <c r="Q31" s="178"/>
      <c r="U31" s="178"/>
    </row>
    <row r="32" spans="1:21" x14ac:dyDescent="0.35">
      <c r="I32" s="178"/>
      <c r="M32" s="178"/>
      <c r="Q32" s="178"/>
      <c r="U32" s="178"/>
    </row>
    <row r="33" spans="1:21" x14ac:dyDescent="0.35">
      <c r="A33" s="277" t="s">
        <v>92</v>
      </c>
      <c r="E33" s="214">
        <f>+E34</f>
        <v>0</v>
      </c>
      <c r="I33" s="214">
        <f>+I34</f>
        <v>0</v>
      </c>
      <c r="M33" s="226">
        <f>+M34</f>
        <v>0</v>
      </c>
      <c r="Q33" s="214">
        <f>+Q34</f>
        <v>0</v>
      </c>
      <c r="U33" s="214">
        <f>+U34</f>
        <v>0</v>
      </c>
    </row>
    <row r="34" spans="1:21" x14ac:dyDescent="0.35">
      <c r="A34" s="270" t="s">
        <v>342</v>
      </c>
      <c r="B34" s="122" t="s">
        <v>343</v>
      </c>
      <c r="C34" s="5" t="s">
        <v>230</v>
      </c>
      <c r="D34" s="5" t="s">
        <v>344</v>
      </c>
      <c r="E34" s="268">
        <f>SUM(E35:E36)</f>
        <v>0</v>
      </c>
      <c r="F34" s="122" t="s">
        <v>343</v>
      </c>
      <c r="G34" s="5" t="s">
        <v>230</v>
      </c>
      <c r="H34" s="5" t="s">
        <v>344</v>
      </c>
      <c r="I34" s="268">
        <f>SUM(I35:I36)</f>
        <v>0</v>
      </c>
      <c r="J34" s="122" t="s">
        <v>343</v>
      </c>
      <c r="K34" s="5" t="s">
        <v>230</v>
      </c>
      <c r="L34" s="5" t="s">
        <v>344</v>
      </c>
      <c r="M34" s="293">
        <f>SUM(M35:M36)</f>
        <v>0</v>
      </c>
      <c r="N34" s="122" t="s">
        <v>343</v>
      </c>
      <c r="O34" s="5" t="s">
        <v>230</v>
      </c>
      <c r="P34" s="5" t="s">
        <v>344</v>
      </c>
      <c r="Q34" s="268">
        <f>SUM(Q35:Q36)</f>
        <v>0</v>
      </c>
      <c r="R34" s="122" t="s">
        <v>343</v>
      </c>
      <c r="S34" s="5" t="s">
        <v>230</v>
      </c>
      <c r="T34" s="5" t="s">
        <v>344</v>
      </c>
      <c r="U34" s="268">
        <f>SUM(U35:U36)</f>
        <v>0</v>
      </c>
    </row>
    <row r="35" spans="1:21" x14ac:dyDescent="0.35">
      <c r="D35" s="166"/>
      <c r="E35" s="212"/>
      <c r="F35" s="122"/>
      <c r="G35" s="295"/>
      <c r="H35" s="166"/>
      <c r="I35" s="212"/>
      <c r="J35" s="122"/>
      <c r="K35" s="295"/>
      <c r="L35" s="166"/>
      <c r="M35" s="294"/>
      <c r="N35" s="122"/>
      <c r="O35" s="295"/>
      <c r="P35" s="166"/>
      <c r="Q35" s="212"/>
      <c r="R35" s="122"/>
      <c r="S35" s="295"/>
      <c r="T35" s="166"/>
      <c r="U35" s="212"/>
    </row>
    <row r="36" spans="1:21" x14ac:dyDescent="0.35">
      <c r="D36" s="166"/>
      <c r="E36" s="212"/>
      <c r="F36" s="122"/>
      <c r="G36" s="295"/>
      <c r="H36" s="166"/>
      <c r="I36" s="212"/>
      <c r="J36" s="122"/>
      <c r="K36" s="295"/>
      <c r="L36" s="166"/>
      <c r="M36" s="294"/>
      <c r="N36" s="122"/>
      <c r="O36" s="295"/>
      <c r="P36" s="166"/>
      <c r="Q36" s="212"/>
      <c r="R36" s="122"/>
      <c r="S36" s="295"/>
      <c r="T36" s="166"/>
      <c r="U36" s="212"/>
    </row>
  </sheetData>
  <mergeCells count="5">
    <mergeCell ref="B2:E2"/>
    <mergeCell ref="F2:I2"/>
    <mergeCell ref="J2:M2"/>
    <mergeCell ref="N2:Q2"/>
    <mergeCell ref="R2:U2"/>
  </mergeCells>
  <pageMargins left="0.17" right="0.17" top="0.33" bottom="0.31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7"/>
  <sheetViews>
    <sheetView workbookViewId="0">
      <selection activeCell="J5" sqref="J5:N5"/>
    </sheetView>
  </sheetViews>
  <sheetFormatPr defaultRowHeight="14.5" x14ac:dyDescent="0.35"/>
  <cols>
    <col min="1" max="1" width="5.1796875" customWidth="1"/>
    <col min="2" max="2" width="2.7265625" style="4" customWidth="1"/>
    <col min="3" max="3" width="48.54296875" customWidth="1"/>
    <col min="4" max="4" width="1.7265625" customWidth="1"/>
    <col min="5" max="6" width="7.7265625" style="5" customWidth="1"/>
    <col min="7" max="7" width="1.7265625" customWidth="1"/>
    <col min="8" max="8" width="12.7265625" customWidth="1"/>
    <col min="9" max="9" width="1.7265625" customWidth="1"/>
    <col min="10" max="10" width="10.26953125" customWidth="1"/>
    <col min="11" max="11" width="10.26953125" style="56" customWidth="1"/>
    <col min="12" max="12" width="10.26953125" style="67" customWidth="1"/>
    <col min="13" max="13" width="10.26953125" style="46" customWidth="1"/>
    <col min="14" max="14" width="10.26953125" customWidth="1"/>
    <col min="15" max="15" width="1.7265625" customWidth="1"/>
    <col min="16" max="16" width="12.1796875" customWidth="1"/>
  </cols>
  <sheetData>
    <row r="1" spans="1:17" ht="15.5" x14ac:dyDescent="0.35">
      <c r="A1" s="1" t="s">
        <v>345</v>
      </c>
      <c r="B1" s="1"/>
      <c r="J1" s="1"/>
      <c r="K1"/>
      <c r="P1" s="2" t="s">
        <v>346</v>
      </c>
    </row>
    <row r="2" spans="1:17" ht="15.5" x14ac:dyDescent="0.35">
      <c r="A2" s="1" t="s">
        <v>347</v>
      </c>
      <c r="B2" s="1"/>
      <c r="D2" s="3" t="s">
        <v>348</v>
      </c>
      <c r="K2" s="608" t="s">
        <v>101</v>
      </c>
      <c r="L2" s="608"/>
    </row>
    <row r="3" spans="1:17" ht="15" thickBot="1" x14ac:dyDescent="0.4">
      <c r="A3" s="4"/>
      <c r="H3" s="5" t="s">
        <v>349</v>
      </c>
      <c r="I3" s="5"/>
      <c r="J3" s="5" t="s">
        <v>350</v>
      </c>
      <c r="K3" s="57" t="s">
        <v>350</v>
      </c>
      <c r="L3" s="68" t="s">
        <v>350</v>
      </c>
      <c r="M3" s="47" t="s">
        <v>350</v>
      </c>
      <c r="N3" s="5" t="s">
        <v>350</v>
      </c>
    </row>
    <row r="4" spans="1:17" ht="14.25" customHeight="1" x14ac:dyDescent="0.35">
      <c r="A4" s="6"/>
      <c r="B4" s="99"/>
      <c r="C4" s="7"/>
      <c r="D4" s="7"/>
      <c r="E4" s="8"/>
      <c r="F4" s="8"/>
      <c r="G4" s="7"/>
      <c r="H4" s="8" t="s">
        <v>351</v>
      </c>
      <c r="I4" s="7"/>
      <c r="J4" s="609" t="s">
        <v>352</v>
      </c>
      <c r="K4" s="609"/>
      <c r="L4" s="609"/>
      <c r="M4" s="609"/>
      <c r="N4" s="609"/>
      <c r="O4" s="7"/>
      <c r="P4" s="9" t="s">
        <v>351</v>
      </c>
    </row>
    <row r="5" spans="1:17" ht="15" thickBot="1" x14ac:dyDescent="0.4">
      <c r="A5" s="610" t="s">
        <v>353</v>
      </c>
      <c r="B5" s="611"/>
      <c r="C5" s="611"/>
      <c r="D5" s="611"/>
      <c r="E5" s="10" t="s">
        <v>354</v>
      </c>
      <c r="F5" s="10" t="s">
        <v>259</v>
      </c>
      <c r="G5" s="10"/>
      <c r="H5" s="10" t="s">
        <v>355</v>
      </c>
      <c r="I5" s="11"/>
      <c r="J5" s="81" t="s">
        <v>356</v>
      </c>
      <c r="K5" s="78" t="s">
        <v>357</v>
      </c>
      <c r="L5" s="79" t="s">
        <v>7</v>
      </c>
      <c r="M5" s="80" t="s">
        <v>9</v>
      </c>
      <c r="N5" s="10" t="s">
        <v>358</v>
      </c>
      <c r="O5" s="11"/>
      <c r="P5" s="12" t="s">
        <v>355</v>
      </c>
    </row>
    <row r="6" spans="1:17" ht="9.75" customHeight="1" thickBot="1" x14ac:dyDescent="0.4">
      <c r="A6" s="5"/>
      <c r="B6" s="100"/>
      <c r="C6" s="5"/>
      <c r="D6" s="5"/>
      <c r="G6" s="5"/>
      <c r="H6" s="5"/>
      <c r="J6" s="5"/>
      <c r="K6" s="57"/>
      <c r="L6" s="68"/>
      <c r="M6" s="47"/>
      <c r="N6" s="5"/>
      <c r="O6" s="5"/>
      <c r="P6" s="5"/>
    </row>
    <row r="7" spans="1:17" ht="14.25" customHeight="1" x14ac:dyDescent="0.35">
      <c r="A7" s="13" t="s">
        <v>359</v>
      </c>
      <c r="B7" s="101"/>
      <c r="C7" s="14"/>
      <c r="D7" s="14"/>
      <c r="E7" s="82"/>
      <c r="F7" s="90"/>
      <c r="G7" s="14"/>
      <c r="H7" s="14"/>
      <c r="I7" s="14"/>
      <c r="J7" s="14"/>
      <c r="K7" s="58"/>
      <c r="L7" s="69"/>
      <c r="M7" s="48"/>
      <c r="N7" s="14"/>
      <c r="O7" s="14"/>
      <c r="P7" s="9" t="s">
        <v>360</v>
      </c>
    </row>
    <row r="8" spans="1:17" ht="15" thickBot="1" x14ac:dyDescent="0.4">
      <c r="A8" s="15"/>
      <c r="B8" s="4" t="s">
        <v>361</v>
      </c>
      <c r="E8" s="83"/>
      <c r="F8" s="91"/>
      <c r="H8" s="17"/>
      <c r="I8" s="17"/>
      <c r="J8" s="17"/>
      <c r="K8" s="59"/>
      <c r="L8" s="70"/>
      <c r="M8" s="49"/>
      <c r="N8" s="17"/>
      <c r="O8" s="17"/>
      <c r="P8" s="18"/>
    </row>
    <row r="9" spans="1:17" x14ac:dyDescent="0.35">
      <c r="A9" s="15"/>
      <c r="B9" s="4" t="s">
        <v>362</v>
      </c>
      <c r="E9" s="209">
        <f>+'STAFFING WORKSHEET-YR01 16 MON'!E5+'STAFFING WORKSHEET-YR01 16 MON'!E6+'STAFFING WORKSHEET-YR01 16 MON'!E7</f>
        <v>0.7</v>
      </c>
      <c r="F9" s="92">
        <v>3</v>
      </c>
      <c r="H9" s="19">
        <f>+'STAFFING WORKSHEET-YR01 16 MON'!J5+'STAFFING WORKSHEET-YR01 16 MON'!J6+'STAFFING WORKSHEET-YR01 16 MON'!J7+'STAFFING WORKSHEET-YR01 16 MON'!L5+'STAFFING WORKSHEET-YR01 16 MON'!L6+'STAFFING WORKSHEET-YR01 16 MON'!L7</f>
        <v>76205.88</v>
      </c>
      <c r="I9" s="17"/>
      <c r="J9" s="19">
        <f>+'STAFFING WORKSHEET-YR01 16 MON'!J5+'STAFFING WORKSHEET-YR01 16 MON'!J6+'STAFFING WORKSHEET-YR01 16 MON'!J7</f>
        <v>59768.944000000003</v>
      </c>
      <c r="K9" s="60">
        <f>+'STAFFING WORKSHEET-YR01 16 MON'!L5</f>
        <v>5036.2720000000008</v>
      </c>
      <c r="L9" s="71">
        <f>+'STAFFING WORKSHEET-YR01 16 MON'!L6</f>
        <v>5421.8640000000005</v>
      </c>
      <c r="M9" s="50">
        <f>+'STAFFING WORKSHEET-YR01 16 MON'!L7</f>
        <v>5978.8</v>
      </c>
      <c r="N9" s="202"/>
      <c r="O9" s="203"/>
      <c r="P9" s="207">
        <f t="shared" ref="P9:P14" si="0">SUM(J9:N9)</f>
        <v>76205.88</v>
      </c>
      <c r="Q9" s="46"/>
    </row>
    <row r="10" spans="1:17" s="4" customFormat="1" x14ac:dyDescent="0.35">
      <c r="A10" s="208"/>
      <c r="B10" s="4" t="s">
        <v>363</v>
      </c>
      <c r="E10" s="89">
        <f>+'STAFFING WORKSHEET-YR01 16 MON'!E8</f>
        <v>1</v>
      </c>
      <c r="F10" s="93">
        <v>1</v>
      </c>
      <c r="G10"/>
      <c r="H10" s="19">
        <f>+'STAFFING WORKSHEET-YR01 16 MON'!J8+'STAFFING WORKSHEET-YR01 16 MON'!L8</f>
        <v>42799.68</v>
      </c>
      <c r="I10" s="17"/>
      <c r="J10" s="19">
        <f>+H10</f>
        <v>42799.68</v>
      </c>
      <c r="K10" s="204"/>
      <c r="L10" s="205"/>
      <c r="M10" s="206"/>
      <c r="N10" s="202"/>
      <c r="O10" s="203"/>
      <c r="P10" s="207">
        <f t="shared" si="0"/>
        <v>42799.68</v>
      </c>
    </row>
    <row r="11" spans="1:17" x14ac:dyDescent="0.35">
      <c r="A11" s="15"/>
      <c r="B11" s="4" t="s">
        <v>364</v>
      </c>
      <c r="E11" s="89">
        <f>+'STAFFING WORKSHEET-YR01 16 MON'!I9+'STAFFING WORKSHEET-YR01 16 MON'!I10+'STAFFING WORKSHEET-YR01 16 MON'!I11+'STAFFING WORKSHEET-YR01 16 MON'!I12</f>
        <v>3.25</v>
      </c>
      <c r="F11" s="93">
        <v>4</v>
      </c>
      <c r="H11" s="19">
        <f>+'STAFFING WORKSHEET-YR01 16 MON'!J9+'STAFFING WORKSHEET-YR01 16 MON'!J10+'STAFFING WORKSHEET-YR01 16 MON'!J11+'STAFFING WORKSHEET-YR01 16 MON'!J12+'STAFFING WORKSHEET-YR01 16 MON'!L9+'STAFFING WORKSHEET-YR01 16 MON'!L10+'STAFFING WORKSHEET-YR01 16 MON'!L11+'STAFFING WORKSHEET-YR01 16 MON'!L12</f>
        <v>169351.78666666665</v>
      </c>
      <c r="I11" s="17"/>
      <c r="J11" s="19">
        <f>+H11</f>
        <v>169351.78666666665</v>
      </c>
      <c r="K11" s="60"/>
      <c r="L11" s="71"/>
      <c r="M11" s="50"/>
      <c r="N11" s="19"/>
      <c r="O11" s="17"/>
      <c r="P11" s="18">
        <f t="shared" si="0"/>
        <v>169351.78666666665</v>
      </c>
    </row>
    <row r="12" spans="1:17" x14ac:dyDescent="0.35">
      <c r="A12" s="15"/>
      <c r="B12" s="4" t="s">
        <v>23</v>
      </c>
      <c r="E12" s="89">
        <f>+'STAFFING WORKSHEET-YR01 16 MON'!I13</f>
        <v>0.1</v>
      </c>
      <c r="F12" s="93">
        <v>1</v>
      </c>
      <c r="H12" s="19">
        <f>+'STAFFING WORKSHEET-YR01 16 MON'!J13+'STAFFING WORKSHEET-YR01 16 MON'!L13</f>
        <v>6105.6</v>
      </c>
      <c r="I12" s="17"/>
      <c r="J12" s="19">
        <f>+H12</f>
        <v>6105.6</v>
      </c>
      <c r="K12" s="60"/>
      <c r="L12" s="71"/>
      <c r="M12" s="50"/>
      <c r="N12" s="19"/>
      <c r="O12" s="17"/>
      <c r="P12" s="18">
        <f t="shared" si="0"/>
        <v>6105.6</v>
      </c>
    </row>
    <row r="13" spans="1:17" ht="15" thickBot="1" x14ac:dyDescent="0.4">
      <c r="A13" s="15"/>
      <c r="B13" s="4" t="s">
        <v>25</v>
      </c>
      <c r="E13" s="210">
        <f>+'STAFFING WORKSHEET-YR01 16 MON'!I14+'STAFFING WORKSHEET-YR01 16 MON'!I15+'STAFFING WORKSHEET-YR01 16 MON'!I16</f>
        <v>0.2</v>
      </c>
      <c r="F13" s="94">
        <v>3</v>
      </c>
      <c r="H13" s="19">
        <f>+'STAFFING WORKSHEET-YR01 16 MON'!J14+'STAFFING WORKSHEET-YR01 16 MON'!J15+'STAFFING WORKSHEET-YR01 16 MON'!J16+'STAFFING WORKSHEET-YR01 16 MON'!L14+'STAFFING WORKSHEET-YR01 16 MON'!L15+'STAFFING WORKSHEET-YR01 16 MON'!L16</f>
        <v>6576.4639999999999</v>
      </c>
      <c r="I13" s="17"/>
      <c r="J13" s="19">
        <f>+'STAFFING WORKSHEET-YR01 16 MON'!J14+'STAFFING WORKSHEET-YR01 16 MON'!J15+'STAFFING WORKSHEET-YR01 16 MON'!J16</f>
        <v>6576.4639999999999</v>
      </c>
      <c r="K13" s="60"/>
      <c r="L13" s="71"/>
      <c r="M13" s="50"/>
      <c r="N13" s="19"/>
      <c r="O13" s="17"/>
      <c r="P13" s="18">
        <f t="shared" si="0"/>
        <v>6576.4639999999999</v>
      </c>
    </row>
    <row r="14" spans="1:17" s="104" customFormat="1" x14ac:dyDescent="0.35">
      <c r="A14" s="103"/>
      <c r="B14" s="44" t="s">
        <v>365</v>
      </c>
      <c r="E14" s="105"/>
      <c r="F14" s="106"/>
      <c r="H14" s="113">
        <f>+'STAFFING WORKSHEET-YR01 16 MON'!L68</f>
        <v>78986.569600000003</v>
      </c>
      <c r="I14" s="108"/>
      <c r="J14" s="113">
        <f>+'STAFFING WORKSHEET-YR01 16 MON'!J69</f>
        <v>64667.930399999997</v>
      </c>
      <c r="K14" s="109">
        <f>+'STAFFING WORKSHEET-YR01 16 MON'!L50</f>
        <v>8593.2924800000019</v>
      </c>
      <c r="L14" s="110">
        <f>+'STAFFING WORKSHEET-YR01 16 MON'!L54</f>
        <v>4529.586720000003</v>
      </c>
      <c r="M14" s="111">
        <f>+'STAFFING WORKSHEET-YR01 16 MON'!L58</f>
        <v>1195.76</v>
      </c>
      <c r="N14" s="113"/>
      <c r="O14" s="108"/>
      <c r="P14" s="112">
        <f t="shared" si="0"/>
        <v>78986.569600000003</v>
      </c>
    </row>
    <row r="15" spans="1:17" x14ac:dyDescent="0.35">
      <c r="A15" s="20"/>
      <c r="B15" s="102"/>
      <c r="C15" s="22" t="s">
        <v>366</v>
      </c>
      <c r="D15" s="21"/>
      <c r="E15" s="84"/>
      <c r="F15" s="95"/>
      <c r="G15" s="21"/>
      <c r="H15" s="23">
        <f>SUM(H9:H14)</f>
        <v>380025.98026666662</v>
      </c>
      <c r="I15" s="23"/>
      <c r="J15" s="23">
        <f>SUM(J9:J14)</f>
        <v>349270.40506666666</v>
      </c>
      <c r="K15" s="61">
        <f>SUM(K9:K14)</f>
        <v>13629.564480000003</v>
      </c>
      <c r="L15" s="72">
        <f>SUM(L9:L14)</f>
        <v>9951.4507200000044</v>
      </c>
      <c r="M15" s="51">
        <f>SUM(M9:M14)</f>
        <v>7174.56</v>
      </c>
      <c r="N15" s="23">
        <f>SUM(N9:N14)</f>
        <v>0</v>
      </c>
      <c r="O15" s="23"/>
      <c r="P15" s="24">
        <f>SUM(P9:P14)</f>
        <v>380025.98026666662</v>
      </c>
    </row>
    <row r="16" spans="1:17" x14ac:dyDescent="0.35">
      <c r="A16" s="15"/>
      <c r="B16" s="4" t="s">
        <v>202</v>
      </c>
      <c r="E16" s="83"/>
      <c r="F16" s="91"/>
      <c r="H16" s="17"/>
      <c r="I16" s="17"/>
      <c r="J16" s="17"/>
      <c r="K16" s="59"/>
      <c r="L16" s="70"/>
      <c r="M16" s="49"/>
      <c r="N16" s="17"/>
      <c r="O16" s="17"/>
      <c r="P16" s="18"/>
    </row>
    <row r="17" spans="1:16" x14ac:dyDescent="0.35">
      <c r="A17" s="15"/>
      <c r="B17" s="4" t="s">
        <v>367</v>
      </c>
      <c r="E17" s="83"/>
      <c r="F17" s="91"/>
      <c r="H17" s="19">
        <f>+'ORG LEADERSHIP OTHER EXPENSES'!E5</f>
        <v>5300</v>
      </c>
      <c r="I17" s="17"/>
      <c r="J17" s="19">
        <f>+'ORG LEADERSHIP OTHER EXPENSES'!E5</f>
        <v>5300</v>
      </c>
      <c r="K17" s="60"/>
      <c r="L17" s="71"/>
      <c r="M17" s="50"/>
      <c r="N17" s="19"/>
      <c r="O17" s="17"/>
      <c r="P17" s="18">
        <f>SUM(J17:N17)</f>
        <v>5300</v>
      </c>
    </row>
    <row r="18" spans="1:16" x14ac:dyDescent="0.35">
      <c r="A18" s="15"/>
      <c r="B18" s="4" t="s">
        <v>368</v>
      </c>
      <c r="E18" s="83"/>
      <c r="F18" s="91"/>
      <c r="H18" s="19">
        <f>+'ORG LEADERSHIP OTHER EXPENSES'!E12</f>
        <v>11400</v>
      </c>
      <c r="I18" s="17"/>
      <c r="J18" s="19">
        <f>+'ORG LEADERSHIP OTHER EXPENSES'!E12</f>
        <v>11400</v>
      </c>
      <c r="K18" s="60"/>
      <c r="L18" s="71"/>
      <c r="M18" s="50"/>
      <c r="N18" s="19"/>
      <c r="O18" s="17"/>
      <c r="P18" s="18">
        <f>SUM(J18:N18)</f>
        <v>11400</v>
      </c>
    </row>
    <row r="19" spans="1:16" x14ac:dyDescent="0.35">
      <c r="A19" s="15"/>
      <c r="B19" s="4" t="s">
        <v>59</v>
      </c>
      <c r="E19" s="83"/>
      <c r="F19" s="91"/>
      <c r="H19" s="19">
        <f>+'ORG LEADERSHIP OTHER EXPENSES'!E48</f>
        <v>4000</v>
      </c>
      <c r="I19" s="17"/>
      <c r="J19" s="19">
        <f>+'ORG LEADERSHIP OTHER EXPENSES'!E48</f>
        <v>4000</v>
      </c>
      <c r="K19" s="60"/>
      <c r="L19" s="71"/>
      <c r="M19" s="50"/>
      <c r="N19" s="19"/>
      <c r="O19" s="17"/>
      <c r="P19" s="18">
        <f>SUM(J19:N19)</f>
        <v>4000</v>
      </c>
    </row>
    <row r="20" spans="1:16" x14ac:dyDescent="0.35">
      <c r="A20" s="15"/>
      <c r="B20" s="4" t="s">
        <v>56</v>
      </c>
      <c r="E20" s="83"/>
      <c r="F20" s="91"/>
      <c r="H20" s="19">
        <f>+'ORG LEADERSHIP OTHER EXPENSES'!E54</f>
        <v>500</v>
      </c>
      <c r="I20" s="17"/>
      <c r="J20" s="19">
        <f>+'ORG LEADERSHIP OTHER EXPENSES'!E54</f>
        <v>500</v>
      </c>
      <c r="K20" s="60"/>
      <c r="L20" s="71"/>
      <c r="M20" s="50"/>
      <c r="N20" s="19"/>
      <c r="O20" s="17"/>
      <c r="P20" s="18">
        <f>SUM(J20:N20)</f>
        <v>500</v>
      </c>
    </row>
    <row r="21" spans="1:16" x14ac:dyDescent="0.35">
      <c r="A21" s="20"/>
      <c r="B21" s="102"/>
      <c r="C21" s="22" t="s">
        <v>369</v>
      </c>
      <c r="D21" s="21"/>
      <c r="E21" s="84"/>
      <c r="F21" s="95"/>
      <c r="G21" s="21"/>
      <c r="H21" s="23">
        <f>SUM(H17:H20)</f>
        <v>21200</v>
      </c>
      <c r="I21" s="23"/>
      <c r="J21" s="23">
        <f>SUM(J17:J20)</f>
        <v>21200</v>
      </c>
      <c r="K21" s="61">
        <f>SUM(K17:K20)</f>
        <v>0</v>
      </c>
      <c r="L21" s="72">
        <f>SUM(L17:L20)</f>
        <v>0</v>
      </c>
      <c r="M21" s="51">
        <f>SUM(M17:M20)</f>
        <v>0</v>
      </c>
      <c r="N21" s="23">
        <f>SUM(N17:N20)</f>
        <v>0</v>
      </c>
      <c r="O21" s="23"/>
      <c r="P21" s="24">
        <f>SUM(P17:P20)</f>
        <v>21200</v>
      </c>
    </row>
    <row r="22" spans="1:16" ht="10.5" customHeight="1" x14ac:dyDescent="0.35">
      <c r="A22" s="15"/>
      <c r="E22" s="83"/>
      <c r="F22" s="91"/>
      <c r="H22" s="17"/>
      <c r="I22" s="17"/>
      <c r="J22" s="17"/>
      <c r="K22" s="59"/>
      <c r="L22" s="70"/>
      <c r="M22" s="49"/>
      <c r="N22" s="17"/>
      <c r="O22" s="17"/>
      <c r="P22" s="18"/>
    </row>
    <row r="23" spans="1:16" ht="15" thickBot="1" x14ac:dyDescent="0.4">
      <c r="A23" s="25"/>
      <c r="B23" s="26"/>
      <c r="C23" s="26" t="s">
        <v>370</v>
      </c>
      <c r="D23" s="26"/>
      <c r="E23" s="85"/>
      <c r="F23" s="96"/>
      <c r="G23" s="26"/>
      <c r="H23" s="27">
        <f>+H15+H21</f>
        <v>401225.98026666662</v>
      </c>
      <c r="I23" s="27"/>
      <c r="J23" s="27">
        <f>+J15+J21</f>
        <v>370470.40506666666</v>
      </c>
      <c r="K23" s="62">
        <f>+K15+K21</f>
        <v>13629.564480000003</v>
      </c>
      <c r="L23" s="73">
        <f>+L15+L21</f>
        <v>9951.4507200000044</v>
      </c>
      <c r="M23" s="52">
        <f>+M15+M21</f>
        <v>7174.56</v>
      </c>
      <c r="N23" s="27">
        <f>+N15+N21</f>
        <v>0</v>
      </c>
      <c r="O23" s="27"/>
      <c r="P23" s="28">
        <f>+P15+P21</f>
        <v>401225.98026666662</v>
      </c>
    </row>
    <row r="24" spans="1:16" ht="12" customHeight="1" thickBot="1" x14ac:dyDescent="0.4">
      <c r="H24" s="17"/>
      <c r="I24" s="17"/>
      <c r="J24" s="17"/>
      <c r="K24" s="59"/>
      <c r="L24" s="70"/>
      <c r="M24" s="49"/>
      <c r="N24" s="17"/>
      <c r="O24" s="17"/>
      <c r="P24" s="17"/>
    </row>
    <row r="25" spans="1:16" x14ac:dyDescent="0.35">
      <c r="A25" s="13" t="s">
        <v>371</v>
      </c>
      <c r="B25" s="101"/>
      <c r="C25" s="14"/>
      <c r="D25" s="14"/>
      <c r="E25" s="82"/>
      <c r="F25" s="90"/>
      <c r="G25" s="14"/>
      <c r="H25" s="29"/>
      <c r="I25" s="29"/>
      <c r="J25" s="29"/>
      <c r="K25" s="63"/>
      <c r="L25" s="74"/>
      <c r="M25" s="53"/>
      <c r="N25" s="29"/>
      <c r="O25" s="29"/>
      <c r="P25" s="30"/>
    </row>
    <row r="26" spans="1:16" ht="15" thickBot="1" x14ac:dyDescent="0.4">
      <c r="A26" s="15"/>
      <c r="B26" s="4" t="s">
        <v>361</v>
      </c>
      <c r="E26" s="83"/>
      <c r="F26" s="91"/>
      <c r="H26" s="17"/>
      <c r="I26" s="17"/>
      <c r="J26" s="17"/>
      <c r="K26" s="59"/>
      <c r="L26" s="70"/>
      <c r="M26" s="49"/>
      <c r="N26" s="17"/>
      <c r="O26" s="17"/>
      <c r="P26" s="18"/>
    </row>
    <row r="27" spans="1:16" x14ac:dyDescent="0.35">
      <c r="A27" s="15"/>
      <c r="B27" s="4" t="s">
        <v>372</v>
      </c>
      <c r="E27" s="209">
        <f>+'STAFFING WORKSHEET-YR01 16 MON'!M18+'STAFFING WORKSHEET-YR01 16 MON'!M19+'STAFFING WORKSHEET-YR01 16 MON'!M20+'STAFFING WORKSHEET-YR01 16 MON'!O18+'STAFFING WORKSHEET-YR01 16 MON'!O19+'STAFFING WORKSHEET-YR01 16 MON'!O20</f>
        <v>2.25</v>
      </c>
      <c r="F27" s="92">
        <v>3</v>
      </c>
      <c r="H27" s="19">
        <f>+'STAFFING WORKSHEET-YR01 16 MON'!N18+'STAFFING WORKSHEET-YR01 16 MON'!N19+'STAFFING WORKSHEET-YR01 16 MON'!N20+'STAFFING WORKSHEET-YR01 16 MON'!P18+'STAFFING WORKSHEET-YR01 16 MON'!P19+'STAFFING WORKSHEET-YR01 16 MON'!P20</f>
        <v>134169</v>
      </c>
      <c r="I27" s="17"/>
      <c r="J27" s="19">
        <f>+'STAFFING WORKSHEET-YR01 16 MON'!N18+'STAFFING WORKSHEET-YR01 16 MON'!N19+'STAFFING WORKSHEET-YR01 16 MON'!N20</f>
        <v>107919</v>
      </c>
      <c r="K27" s="60"/>
      <c r="L27" s="71"/>
      <c r="M27" s="50"/>
      <c r="N27" s="19">
        <f>+'STAFFING WORKSHEET-YR01 16 MON'!P18+'STAFFING WORKSHEET-YR01 16 MON'!P19</f>
        <v>26250</v>
      </c>
      <c r="O27" s="17"/>
      <c r="P27" s="18">
        <f>SUM(J27:N27)</f>
        <v>134169</v>
      </c>
    </row>
    <row r="28" spans="1:16" x14ac:dyDescent="0.35">
      <c r="A28" s="15"/>
      <c r="B28" s="4" t="s">
        <v>373</v>
      </c>
      <c r="E28" s="89">
        <f>+'STAFFING WORKSHEET-YR01 16 MON'!M21+'STAFFING WORKSHEET-YR01 16 MON'!M22+'STAFFING WORKSHEET-YR01 16 MON'!M23+'STAFFING WORKSHEET-YR01 16 MON'!O21+'STAFFING WORKSHEET-YR01 16 MON'!O22+'STAFFING WORKSHEET-YR01 16 MON'!O23</f>
        <v>3</v>
      </c>
      <c r="F28" s="93">
        <v>3</v>
      </c>
      <c r="H28" s="19">
        <f>+'STAFFING WORKSHEET-YR01 16 MON'!N18+'STAFFING WORKSHEET-YR01 16 MON'!N19+'STAFFING WORKSHEET-YR01 16 MON'!N20+'STAFFING WORKSHEET-YR01 16 MON'!P18+'STAFFING WORKSHEET-YR01 16 MON'!P19+'STAFFING WORKSHEET-YR01 16 MON'!P20</f>
        <v>134169</v>
      </c>
      <c r="I28" s="17"/>
      <c r="J28" s="19">
        <f>+'STAFFING WORKSHEET-YR01 16 MON'!N21+'STAFFING WORKSHEET-YR01 16 MON'!N22+'STAFFING WORKSHEET-YR01 16 MON'!N23</f>
        <v>105000</v>
      </c>
      <c r="K28" s="60">
        <f>+'STAFFING WORKSHEET-YR01 16 MON'!P23</f>
        <v>0</v>
      </c>
      <c r="L28" s="71"/>
      <c r="M28" s="50"/>
      <c r="N28" s="19">
        <f>+'STAFFING WORKSHEET-YR01 16 MON'!P21+'STAFFING WORKSHEET-YR01 16 MON'!P22</f>
        <v>0</v>
      </c>
      <c r="O28" s="17"/>
      <c r="P28" s="18">
        <f>SUM(J28:N28)</f>
        <v>105000</v>
      </c>
    </row>
    <row r="29" spans="1:16" x14ac:dyDescent="0.35">
      <c r="A29" s="15"/>
      <c r="B29" s="4" t="s">
        <v>374</v>
      </c>
      <c r="E29" s="89">
        <f>+'STAFFING WORKSHEET-YR01 16 MON'!M24+'STAFFING WORKSHEET-YR01 16 MON'!M25+'STAFFING WORKSHEET-YR01 16 MON'!O24+'STAFFING WORKSHEET-YR01 16 MON'!O25</f>
        <v>0.35</v>
      </c>
      <c r="F29" s="93">
        <v>2</v>
      </c>
      <c r="H29" s="19">
        <f>+'STAFFING WORKSHEET-YR01 16 MON'!N24+'STAFFING WORKSHEET-YR01 16 MON'!N25+'STAFFING WORKSHEET-YR01 16 MON'!P24+'STAFFING WORKSHEET-YR01 16 MON'!P25+'STAFFING WORKSHEET-YR01 16 MON'!N9+'STAFFING WORKSHEET-YR01 16 MON'!P9</f>
        <v>9010.1000000000022</v>
      </c>
      <c r="I29" s="17"/>
      <c r="J29" s="19">
        <f>+'STAFFING WORKSHEET-YR01 16 MON'!N9+'STAFFING WORKSHEET-YR01 16 MON'!N24+'STAFFING WORKSHEET-YR01 16 MON'!N25</f>
        <v>9010.1000000000022</v>
      </c>
      <c r="K29" s="60"/>
      <c r="L29" s="71">
        <f>+'STAFFING WORKSHEET-YR01 16 MON'!P24+'STAFFING WORKSHEET-YR01 16 MON'!P25</f>
        <v>0</v>
      </c>
      <c r="M29" s="50">
        <f>+'STAFFING WORKSHEET-YR01 16 MON'!P9</f>
        <v>0</v>
      </c>
      <c r="N29" s="19"/>
      <c r="O29" s="17"/>
      <c r="P29" s="18">
        <f>SUM(J29:N29)</f>
        <v>9010.1000000000022</v>
      </c>
    </row>
    <row r="30" spans="1:16" x14ac:dyDescent="0.35">
      <c r="A30" s="15"/>
      <c r="B30" s="4" t="s">
        <v>25</v>
      </c>
      <c r="E30" s="89">
        <v>0</v>
      </c>
      <c r="F30" s="93">
        <v>0</v>
      </c>
      <c r="H30" s="19">
        <v>0</v>
      </c>
      <c r="I30" s="17"/>
      <c r="J30" s="19"/>
      <c r="K30" s="60"/>
      <c r="L30" s="71"/>
      <c r="M30" s="50"/>
      <c r="N30" s="19"/>
      <c r="O30" s="17"/>
      <c r="P30" s="18">
        <f>SUM(J30:N30)</f>
        <v>0</v>
      </c>
    </row>
    <row r="31" spans="1:16" s="104" customFormat="1" ht="14.25" customHeight="1" x14ac:dyDescent="0.35">
      <c r="A31" s="103"/>
      <c r="B31" s="44" t="s">
        <v>365</v>
      </c>
      <c r="E31" s="105"/>
      <c r="F31" s="106"/>
      <c r="H31" s="107">
        <f>+'STAFFING WORKSHEET-YR01 16 MON'!P68</f>
        <v>78780.894</v>
      </c>
      <c r="I31" s="108"/>
      <c r="J31" s="107">
        <f>+'STAFFING WORKSHEET-YR01 16 MON'!N69</f>
        <v>66578.73</v>
      </c>
      <c r="K31" s="109">
        <f>+'STAFFING WORKSHEET-YR01 16 MON'!P50</f>
        <v>2800.0000000000005</v>
      </c>
      <c r="L31" s="110">
        <f>+'STAFFING WORKSHEET-YR01 16 MON'!P54</f>
        <v>1527.1640000000014</v>
      </c>
      <c r="M31" s="111">
        <f>+'STAFFING WORKSHEET-YR01 16 MON'!P58</f>
        <v>0</v>
      </c>
      <c r="N31" s="107">
        <f>+'STAFFING WORKSHEET-YR01 16 MON'!P62+'STAFFING WORKSHEET-YR01 16 MON'!P66</f>
        <v>7875</v>
      </c>
      <c r="O31" s="108"/>
      <c r="P31" s="112">
        <f>SUM(J31:N31)</f>
        <v>78780.894</v>
      </c>
    </row>
    <row r="32" spans="1:16" x14ac:dyDescent="0.35">
      <c r="A32" s="20"/>
      <c r="B32" s="102"/>
      <c r="C32" s="22" t="s">
        <v>366</v>
      </c>
      <c r="D32" s="21"/>
      <c r="E32" s="84"/>
      <c r="F32" s="95"/>
      <c r="G32" s="21"/>
      <c r="H32" s="23">
        <f>SUM(H27:H31)</f>
        <v>356128.99399999995</v>
      </c>
      <c r="I32" s="23"/>
      <c r="J32" s="23">
        <f>SUM(J27:J31)</f>
        <v>288507.83</v>
      </c>
      <c r="K32" s="61">
        <f>SUM(K27:K31)</f>
        <v>2800.0000000000005</v>
      </c>
      <c r="L32" s="72">
        <f>SUM(L27:L31)</f>
        <v>1527.1640000000014</v>
      </c>
      <c r="M32" s="51">
        <f>SUM(M27:M31)</f>
        <v>0</v>
      </c>
      <c r="N32" s="23">
        <f>SUM(N27:N31)</f>
        <v>34125</v>
      </c>
      <c r="O32" s="23"/>
      <c r="P32" s="24">
        <f>SUM(P27:P31)</f>
        <v>326959.99400000001</v>
      </c>
    </row>
    <row r="33" spans="1:16" x14ac:dyDescent="0.35">
      <c r="A33" s="15"/>
      <c r="B33" s="4" t="s">
        <v>202</v>
      </c>
      <c r="E33" s="83"/>
      <c r="F33" s="91"/>
      <c r="H33" s="17"/>
      <c r="I33" s="17"/>
      <c r="J33" s="17"/>
      <c r="K33" s="59"/>
      <c r="L33" s="70"/>
      <c r="M33" s="49"/>
      <c r="N33" s="17"/>
      <c r="O33" s="17"/>
      <c r="P33" s="18"/>
    </row>
    <row r="34" spans="1:16" x14ac:dyDescent="0.35">
      <c r="A34" s="15"/>
      <c r="B34" s="4" t="s">
        <v>367</v>
      </c>
      <c r="E34" s="83"/>
      <c r="F34" s="91"/>
      <c r="H34" s="19"/>
      <c r="I34" s="17"/>
      <c r="J34" s="19">
        <f>+'DIRECT SVCS OTHER EXPENSES'!E5</f>
        <v>0</v>
      </c>
      <c r="K34" s="60"/>
      <c r="L34" s="71"/>
      <c r="M34" s="50"/>
      <c r="N34" s="19"/>
      <c r="O34" s="17"/>
      <c r="P34" s="18">
        <f t="shared" ref="P34:P41" si="1">SUM(J34:N34)</f>
        <v>0</v>
      </c>
    </row>
    <row r="35" spans="1:16" x14ac:dyDescent="0.35">
      <c r="A35" s="15"/>
      <c r="B35" s="4" t="s">
        <v>59</v>
      </c>
      <c r="E35" s="83"/>
      <c r="F35" s="91"/>
      <c r="H35" s="19"/>
      <c r="I35" s="17"/>
      <c r="J35" s="19">
        <f>+'DIRECT SVCS OTHER EXPENSES'!E10</f>
        <v>3300</v>
      </c>
      <c r="K35" s="60"/>
      <c r="L35" s="71"/>
      <c r="M35" s="50"/>
      <c r="N35" s="19"/>
      <c r="O35" s="17"/>
      <c r="P35" s="18">
        <f t="shared" si="1"/>
        <v>3300</v>
      </c>
    </row>
    <row r="36" spans="1:16" x14ac:dyDescent="0.35">
      <c r="A36" s="15"/>
      <c r="B36" s="4" t="s">
        <v>375</v>
      </c>
      <c r="E36" s="83"/>
      <c r="F36" s="91"/>
      <c r="H36" s="19"/>
      <c r="I36" s="17"/>
      <c r="J36" s="19">
        <f>+'DIRECT SVCS OTHER EXPENSES'!E18</f>
        <v>700</v>
      </c>
      <c r="K36" s="60"/>
      <c r="L36" s="71"/>
      <c r="M36" s="50"/>
      <c r="N36" s="19"/>
      <c r="O36" s="17"/>
      <c r="P36" s="18">
        <f t="shared" si="1"/>
        <v>700</v>
      </c>
    </row>
    <row r="37" spans="1:16" x14ac:dyDescent="0.35">
      <c r="A37" s="15"/>
      <c r="B37" s="4" t="s">
        <v>376</v>
      </c>
      <c r="E37" s="83"/>
      <c r="F37" s="91"/>
      <c r="H37" s="19"/>
      <c r="I37" s="17"/>
      <c r="J37" s="19">
        <f>+'DIRECT SVCS OTHER EXPENSES'!E26</f>
        <v>44800</v>
      </c>
      <c r="K37" s="60"/>
      <c r="L37" s="71"/>
      <c r="M37" s="50"/>
      <c r="N37" s="19"/>
      <c r="O37" s="17"/>
      <c r="P37" s="18">
        <f t="shared" si="1"/>
        <v>44800</v>
      </c>
    </row>
    <row r="38" spans="1:16" x14ac:dyDescent="0.35">
      <c r="A38" s="15"/>
      <c r="B38" s="4" t="s">
        <v>377</v>
      </c>
      <c r="E38" s="83"/>
      <c r="F38" s="91"/>
      <c r="H38" s="19"/>
      <c r="I38" s="17"/>
      <c r="J38" s="19">
        <f>+'DIRECT SVCS OTHER EXPENSES'!E70</f>
        <v>0</v>
      </c>
      <c r="K38" s="60"/>
      <c r="L38" s="71"/>
      <c r="M38" s="50"/>
      <c r="N38" s="19"/>
      <c r="O38" s="17"/>
      <c r="P38" s="18">
        <f t="shared" si="1"/>
        <v>0</v>
      </c>
    </row>
    <row r="39" spans="1:16" ht="15.75" customHeight="1" x14ac:dyDescent="0.35">
      <c r="A39" s="15"/>
      <c r="B39" s="4" t="s">
        <v>378</v>
      </c>
      <c r="E39" s="83"/>
      <c r="F39" s="91"/>
      <c r="H39" s="19"/>
      <c r="I39" s="17"/>
      <c r="J39" s="19">
        <f>+'DIRECT SVCS OTHER EXPENSES'!E76</f>
        <v>3700</v>
      </c>
      <c r="K39" s="60"/>
      <c r="L39" s="71"/>
      <c r="M39" s="50"/>
      <c r="N39" s="19"/>
      <c r="O39" s="17"/>
      <c r="P39" s="18">
        <f t="shared" si="1"/>
        <v>3700</v>
      </c>
    </row>
    <row r="40" spans="1:16" ht="15.75" customHeight="1" x14ac:dyDescent="0.35">
      <c r="A40" s="15"/>
      <c r="B40" s="4" t="s">
        <v>379</v>
      </c>
      <c r="E40" s="83"/>
      <c r="F40" s="91"/>
      <c r="H40" s="19"/>
      <c r="I40" s="17"/>
      <c r="J40" s="19">
        <f>+'DIRECT SVCS OTHER EXPENSES'!E82</f>
        <v>45900</v>
      </c>
      <c r="K40" s="60"/>
      <c r="L40" s="71"/>
      <c r="M40" s="50"/>
      <c r="N40" s="19"/>
      <c r="O40" s="17"/>
      <c r="P40" s="18">
        <f t="shared" si="1"/>
        <v>45900</v>
      </c>
    </row>
    <row r="41" spans="1:16" x14ac:dyDescent="0.35">
      <c r="A41" s="15"/>
      <c r="B41" s="4" t="s">
        <v>56</v>
      </c>
      <c r="E41" s="83"/>
      <c r="F41" s="91"/>
      <c r="H41" s="19"/>
      <c r="I41" s="17"/>
      <c r="J41" s="19">
        <f>+'DIRECT SVCS OTHER EXPENSES'!E103</f>
        <v>11200</v>
      </c>
      <c r="K41" s="60"/>
      <c r="L41" s="71"/>
      <c r="M41" s="50"/>
      <c r="N41" s="19"/>
      <c r="O41" s="17"/>
      <c r="P41" s="18">
        <f t="shared" si="1"/>
        <v>11200</v>
      </c>
    </row>
    <row r="42" spans="1:16" x14ac:dyDescent="0.35">
      <c r="A42" s="20"/>
      <c r="B42" s="102"/>
      <c r="C42" s="22" t="s">
        <v>369</v>
      </c>
      <c r="D42" s="21"/>
      <c r="E42" s="84"/>
      <c r="F42" s="95"/>
      <c r="G42" s="21"/>
      <c r="H42" s="23">
        <f>SUM(H36:H41)</f>
        <v>0</v>
      </c>
      <c r="I42" s="23"/>
      <c r="J42" s="23">
        <f>SUM(J36:J41)</f>
        <v>106300</v>
      </c>
      <c r="K42" s="61">
        <f>SUM(K36:K41)</f>
        <v>0</v>
      </c>
      <c r="L42" s="72">
        <f>SUM(L36:L41)</f>
        <v>0</v>
      </c>
      <c r="M42" s="51">
        <f>SUM(M36:M41)</f>
        <v>0</v>
      </c>
      <c r="N42" s="23">
        <f>SUM(N36:N41)</f>
        <v>0</v>
      </c>
      <c r="O42" s="23"/>
      <c r="P42" s="24">
        <f>SUM(P36:P41)</f>
        <v>106300</v>
      </c>
    </row>
    <row r="43" spans="1:16" ht="5.25" customHeight="1" x14ac:dyDescent="0.35">
      <c r="A43" s="15"/>
      <c r="E43" s="83"/>
      <c r="F43" s="91"/>
      <c r="P43" s="16"/>
    </row>
    <row r="44" spans="1:16" ht="14.25" customHeight="1" thickBot="1" x14ac:dyDescent="0.4">
      <c r="A44" s="606" t="s">
        <v>380</v>
      </c>
      <c r="B44" s="607"/>
      <c r="C44" s="607"/>
      <c r="D44" s="612"/>
      <c r="E44" s="86"/>
      <c r="F44" s="97"/>
      <c r="G44" s="31"/>
      <c r="H44" s="32">
        <f>+H42+H32</f>
        <v>356128.99399999995</v>
      </c>
      <c r="I44" s="31"/>
      <c r="J44" s="32">
        <f>+J42+J32</f>
        <v>394807.83</v>
      </c>
      <c r="K44" s="64">
        <f>+K42+K32</f>
        <v>2800.0000000000005</v>
      </c>
      <c r="L44" s="75">
        <f>+L42+L32</f>
        <v>1527.1640000000014</v>
      </c>
      <c r="M44" s="54">
        <f>+M42+M32</f>
        <v>0</v>
      </c>
      <c r="N44" s="32">
        <f>+N42+N32</f>
        <v>34125</v>
      </c>
      <c r="O44" s="31"/>
      <c r="P44" s="33">
        <f>+P42+P32</f>
        <v>433259.99400000001</v>
      </c>
    </row>
    <row r="45" spans="1:16" ht="10.5" customHeight="1" thickBot="1" x14ac:dyDescent="0.4"/>
    <row r="46" spans="1:16" x14ac:dyDescent="0.35">
      <c r="A46" s="13" t="s">
        <v>381</v>
      </c>
      <c r="B46" s="101"/>
      <c r="C46" s="14"/>
      <c r="D46" s="14"/>
      <c r="E46" s="82" t="s">
        <v>360</v>
      </c>
      <c r="F46" s="90"/>
      <c r="G46" s="14"/>
      <c r="H46" s="29"/>
      <c r="I46" s="29"/>
      <c r="J46" s="29"/>
      <c r="K46" s="63"/>
      <c r="L46" s="74"/>
      <c r="M46" s="53"/>
      <c r="N46" s="29"/>
      <c r="O46" s="29"/>
      <c r="P46" s="30"/>
    </row>
    <row r="47" spans="1:16" ht="15" thickBot="1" x14ac:dyDescent="0.4">
      <c r="A47" s="15"/>
      <c r="B47" s="4" t="s">
        <v>361</v>
      </c>
      <c r="E47" s="83"/>
      <c r="F47" s="91"/>
      <c r="H47" s="17"/>
      <c r="I47" s="17"/>
      <c r="J47" s="17"/>
      <c r="K47" s="59"/>
      <c r="L47" s="70"/>
      <c r="M47" s="49"/>
      <c r="N47" s="17"/>
      <c r="O47" s="17"/>
      <c r="P47" s="18"/>
    </row>
    <row r="48" spans="1:16" x14ac:dyDescent="0.35">
      <c r="A48" s="15"/>
      <c r="B48" s="4" t="s">
        <v>33</v>
      </c>
      <c r="E48" s="209">
        <f>+'STAFFING WORKSHEET-YR01 16 MON'!Q27+'STAFFING WORKSHEET-YR01 16 MON'!Q28+'STAFFING WORKSHEET-YR01 16 MON'!S27+'STAFFING WORKSHEET-YR01 16 MON'!S28</f>
        <v>0.04</v>
      </c>
      <c r="F48" s="92"/>
      <c r="H48" s="19">
        <f>+'STAFFING WORKSHEET-YR01 16 MON'!R27+'STAFFING WORKSHEET-YR01 16 MON'!R28</f>
        <v>5678.6656000000003</v>
      </c>
      <c r="I48" s="17"/>
      <c r="J48" s="19">
        <f>+H48</f>
        <v>5678.6656000000003</v>
      </c>
      <c r="K48" s="60">
        <f>+'STAFFING WORKSHEET-YR01 16 MON'!T27+'STAFFING WORKSHEET-YR01 16 MON'!T28</f>
        <v>0</v>
      </c>
      <c r="L48" s="71"/>
      <c r="M48" s="50"/>
      <c r="N48" s="19"/>
      <c r="O48" s="17"/>
      <c r="P48" s="18">
        <f>SUM(J48:N48)</f>
        <v>5678.6656000000003</v>
      </c>
    </row>
    <row r="49" spans="1:16" x14ac:dyDescent="0.35">
      <c r="A49" s="15"/>
      <c r="B49" s="4" t="s">
        <v>35</v>
      </c>
      <c r="E49" s="89">
        <f>+'STAFFING WORKSHEET-YR01 16 MON'!Q29+'STAFFING WORKSHEET-YR01 16 MON'!S29</f>
        <v>0.04</v>
      </c>
      <c r="F49" s="93"/>
      <c r="H49" s="19">
        <f>+'STAFFING WORKSHEET-YR01 16 MON'!R29+'STAFFING WORKSHEET-YR01 16 MON'!T29</f>
        <v>3000</v>
      </c>
      <c r="I49" s="17"/>
      <c r="J49" s="19">
        <f>+'STAFFING WORKSHEET-YR01 16 MON'!R29</f>
        <v>3000</v>
      </c>
      <c r="K49" s="60">
        <f>+'STAFFING WORKSHEET-YR01 16 MON'!T29</f>
        <v>0</v>
      </c>
      <c r="L49" s="71"/>
      <c r="M49" s="50"/>
      <c r="N49" s="19"/>
      <c r="O49" s="17"/>
      <c r="P49" s="18">
        <f>SUM(J49:N49)</f>
        <v>3000</v>
      </c>
    </row>
    <row r="50" spans="1:16" x14ac:dyDescent="0.35">
      <c r="A50" s="15"/>
      <c r="B50" s="4" t="s">
        <v>364</v>
      </c>
      <c r="E50" s="89">
        <f>+'STAFFING WORKSHEET-YR01 16 MON'!Q10+'STAFFING WORKSHEET-YR01 16 MON'!Q12+'STAFFING WORKSHEET-YR01 16 MON'!S10+'STAFFING WORKSHEET-YR01 16 MON'!S12</f>
        <v>0.5</v>
      </c>
      <c r="F50" s="93"/>
      <c r="H50" s="19">
        <f>+'STAFFING WORKSHEET-YR01 16 MON'!R10+'STAFFING WORKSHEET-YR01 16 MON'!R12+'STAFFING WORKSHEET-YR01 16 MON'!T10+'STAFFING WORKSHEET-YR01 16 MON'!T12+'STAFFING WORKSHEET-YR01 16 MON'!R30+'STAFFING WORKSHEET-YR01 16 MON'!T30</f>
        <v>22717</v>
      </c>
      <c r="I50" s="17"/>
      <c r="J50" s="19">
        <f>+'STAFFING WORKSHEET-YR01 16 MON'!R10+'STAFFING WORKSHEET-YR01 16 MON'!R12+'STAFFING WORKSHEET-YR01 16 MON'!R30</f>
        <v>22717</v>
      </c>
      <c r="K50" s="60">
        <f>+'STAFFING WORKSHEET-YR01 16 MON'!T30</f>
        <v>0</v>
      </c>
      <c r="L50" s="71"/>
      <c r="M50" s="50"/>
      <c r="N50" s="19"/>
      <c r="O50" s="17"/>
      <c r="P50" s="18">
        <f>SUM(J50:N50)</f>
        <v>22717</v>
      </c>
    </row>
    <row r="51" spans="1:16" x14ac:dyDescent="0.35">
      <c r="A51" s="15"/>
      <c r="B51" s="4" t="s">
        <v>382</v>
      </c>
      <c r="E51" s="89">
        <f>+'STAFFING WORKSHEET-YR01 16 MON'!Q8+'STAFFING WORKSHEET-YR01 16 MON'!S8</f>
        <v>0.25</v>
      </c>
      <c r="F51" s="93"/>
      <c r="H51" s="19">
        <f>+'STAFFING WORKSHEET-YR01 16 MON'!R8+'STAFFING WORKSHEET-YR01 16 MON'!T8</f>
        <v>14266.56</v>
      </c>
      <c r="I51" s="17"/>
      <c r="J51" s="19">
        <f>+H51</f>
        <v>14266.56</v>
      </c>
      <c r="K51" s="60"/>
      <c r="L51" s="71"/>
      <c r="M51" s="50"/>
      <c r="N51" s="19"/>
      <c r="O51" s="17"/>
      <c r="P51" s="18">
        <f>SUM(J51:N51)</f>
        <v>14266.56</v>
      </c>
    </row>
    <row r="52" spans="1:16" s="104" customFormat="1" x14ac:dyDescent="0.35">
      <c r="A52" s="103"/>
      <c r="B52" s="44" t="s">
        <v>365</v>
      </c>
      <c r="E52" s="105"/>
      <c r="F52" s="106"/>
      <c r="H52" s="107">
        <f>+'STAFFING WORKSHEET-YR01 16 MON'!T68</f>
        <v>10831.923328000001</v>
      </c>
      <c r="I52" s="108"/>
      <c r="J52" s="107">
        <f>+'STAFFING WORKSHEET-YR01 16 MON'!R69</f>
        <v>9806.9676799999997</v>
      </c>
      <c r="K52" s="109">
        <f>+'STAFFING WORKSHEET-YR01 16 MON'!T50</f>
        <v>454.29324800000012</v>
      </c>
      <c r="L52" s="110">
        <f>+'STAFFING WORKSHEET-YR01 16 MON'!T54</f>
        <v>570.6624000000005</v>
      </c>
      <c r="M52" s="111">
        <f>+'STAFFING WORKSHEET-YR01 16 MON'!T58</f>
        <v>0</v>
      </c>
      <c r="N52" s="107"/>
      <c r="O52" s="108"/>
      <c r="P52" s="112">
        <f>SUM(J52:N52)</f>
        <v>10831.923328000001</v>
      </c>
    </row>
    <row r="53" spans="1:16" x14ac:dyDescent="0.35">
      <c r="A53" s="604" t="s">
        <v>383</v>
      </c>
      <c r="B53" s="605"/>
      <c r="C53" s="605"/>
      <c r="D53" s="605"/>
      <c r="E53" s="84"/>
      <c r="F53" s="95"/>
      <c r="G53" s="21"/>
      <c r="H53" s="23">
        <f>SUM(H48:H52)</f>
        <v>56494.148927999995</v>
      </c>
      <c r="I53" s="23"/>
      <c r="J53" s="23">
        <f>SUM(J48:J52)</f>
        <v>55469.19328</v>
      </c>
      <c r="K53" s="61">
        <f>SUM(K48:K52)</f>
        <v>454.29324800000012</v>
      </c>
      <c r="L53" s="72">
        <f>SUM(L48:L52)</f>
        <v>570.6624000000005</v>
      </c>
      <c r="M53" s="51">
        <f>SUM(M48:M52)</f>
        <v>0</v>
      </c>
      <c r="N53" s="23">
        <f>SUM(N48:N52)</f>
        <v>0</v>
      </c>
      <c r="O53" s="23"/>
      <c r="P53" s="24">
        <f>SUM(P48:P52)</f>
        <v>56494.148927999995</v>
      </c>
    </row>
    <row r="54" spans="1:16" x14ac:dyDescent="0.35">
      <c r="A54" s="15"/>
      <c r="B54" s="4" t="s">
        <v>202</v>
      </c>
      <c r="E54" s="83"/>
      <c r="F54" s="91"/>
      <c r="H54" s="17"/>
      <c r="I54" s="17"/>
      <c r="J54" s="17"/>
      <c r="K54" s="59"/>
      <c r="L54" s="70"/>
      <c r="M54" s="49"/>
      <c r="N54" s="17"/>
      <c r="O54" s="17"/>
      <c r="P54" s="18"/>
    </row>
    <row r="55" spans="1:16" x14ac:dyDescent="0.35">
      <c r="A55" s="15"/>
      <c r="B55" s="4" t="s">
        <v>375</v>
      </c>
      <c r="E55" s="83"/>
      <c r="F55" s="91"/>
      <c r="H55" s="19"/>
      <c r="I55" s="17"/>
      <c r="J55" s="19">
        <f>+'EVALUATION OTHER EXPENSES'!E5</f>
        <v>1900</v>
      </c>
      <c r="K55" s="60"/>
      <c r="L55" s="71"/>
      <c r="M55" s="50"/>
      <c r="N55" s="19"/>
      <c r="O55" s="17"/>
      <c r="P55" s="18">
        <f>SUM(J55:N55)</f>
        <v>1900</v>
      </c>
    </row>
    <row r="56" spans="1:16" x14ac:dyDescent="0.35">
      <c r="A56" s="15"/>
      <c r="B56" s="4" t="s">
        <v>384</v>
      </c>
      <c r="E56" s="83"/>
      <c r="F56" s="91"/>
      <c r="H56" s="19"/>
      <c r="I56" s="17"/>
      <c r="J56" s="19">
        <f>+'EVALUATION OTHER EXPENSES'!E19</f>
        <v>0</v>
      </c>
      <c r="K56" s="60"/>
      <c r="L56" s="71"/>
      <c r="M56" s="50"/>
      <c r="N56" s="19"/>
      <c r="O56" s="17"/>
      <c r="P56" s="18">
        <f>SUM(J56:N56)</f>
        <v>0</v>
      </c>
    </row>
    <row r="57" spans="1:16" x14ac:dyDescent="0.35">
      <c r="A57" s="15"/>
      <c r="B57" s="4" t="s">
        <v>67</v>
      </c>
      <c r="E57" s="83"/>
      <c r="F57" s="91"/>
      <c r="H57" s="19"/>
      <c r="I57" s="17"/>
      <c r="J57" s="19">
        <f>+'EVALUATION OTHER EXPENSES'!E25</f>
        <v>0</v>
      </c>
      <c r="K57" s="60"/>
      <c r="L57" s="71"/>
      <c r="M57" s="50"/>
      <c r="N57" s="19"/>
      <c r="O57" s="17"/>
      <c r="P57" s="18">
        <f>SUM(J57:N57)</f>
        <v>0</v>
      </c>
    </row>
    <row r="58" spans="1:16" x14ac:dyDescent="0.35">
      <c r="A58" s="15"/>
      <c r="B58" s="4" t="s">
        <v>385</v>
      </c>
      <c r="E58" s="83"/>
      <c r="F58" s="91"/>
      <c r="H58" s="19"/>
      <c r="I58" s="17"/>
      <c r="J58" s="19">
        <f>+'EVALUATION OTHER EXPENSES'!E29</f>
        <v>0</v>
      </c>
      <c r="K58" s="60"/>
      <c r="L58" s="71"/>
      <c r="M58" s="50"/>
      <c r="N58" s="19"/>
      <c r="O58" s="17"/>
      <c r="P58" s="18">
        <f>SUM(J58:N58)</f>
        <v>0</v>
      </c>
    </row>
    <row r="59" spans="1:16" x14ac:dyDescent="0.35">
      <c r="A59" s="15"/>
      <c r="B59" s="4" t="s">
        <v>56</v>
      </c>
      <c r="E59" s="83"/>
      <c r="F59" s="91"/>
      <c r="H59" s="19"/>
      <c r="I59" s="17"/>
      <c r="J59" s="19">
        <f>+'EVALUATION OTHER EXPENSES'!E33</f>
        <v>0</v>
      </c>
      <c r="K59" s="60"/>
      <c r="L59" s="71"/>
      <c r="M59" s="50"/>
      <c r="N59" s="19"/>
      <c r="O59" s="17"/>
      <c r="P59" s="18">
        <f>SUM(J59:N59)</f>
        <v>0</v>
      </c>
    </row>
    <row r="60" spans="1:16" x14ac:dyDescent="0.35">
      <c r="A60" s="604" t="s">
        <v>386</v>
      </c>
      <c r="B60" s="605"/>
      <c r="C60" s="605"/>
      <c r="D60" s="605"/>
      <c r="E60" s="84"/>
      <c r="F60" s="95"/>
      <c r="G60" s="21"/>
      <c r="H60" s="23">
        <f>SUM(H55:H59)</f>
        <v>0</v>
      </c>
      <c r="I60" s="23"/>
      <c r="J60" s="23">
        <f>SUM(J55:J59)</f>
        <v>1900</v>
      </c>
      <c r="K60" s="61">
        <f>SUM(K55:K59)</f>
        <v>0</v>
      </c>
      <c r="L60" s="72">
        <f>SUM(L55:L59)</f>
        <v>0</v>
      </c>
      <c r="M60" s="51">
        <f>SUM(M55:M59)</f>
        <v>0</v>
      </c>
      <c r="N60" s="23">
        <f>SUM(N55:N59)</f>
        <v>0</v>
      </c>
      <c r="O60" s="23"/>
      <c r="P60" s="24">
        <f>SUM(P55:P59)</f>
        <v>1900</v>
      </c>
    </row>
    <row r="61" spans="1:16" ht="3.75" customHeight="1" x14ac:dyDescent="0.35">
      <c r="A61" s="34"/>
      <c r="B61" s="100"/>
      <c r="C61" s="5"/>
      <c r="D61" s="5"/>
      <c r="E61" s="83"/>
      <c r="F61" s="91"/>
      <c r="H61" s="17"/>
      <c r="I61" s="17"/>
      <c r="J61" s="17"/>
      <c r="K61" s="59"/>
      <c r="L61" s="70"/>
      <c r="M61" s="49"/>
      <c r="N61" s="17"/>
      <c r="O61" s="17"/>
      <c r="P61" s="18"/>
    </row>
    <row r="62" spans="1:16" ht="15" thickBot="1" x14ac:dyDescent="0.4">
      <c r="A62" s="606" t="s">
        <v>387</v>
      </c>
      <c r="B62" s="607"/>
      <c r="C62" s="607"/>
      <c r="D62" s="607"/>
      <c r="E62" s="85"/>
      <c r="F62" s="96"/>
      <c r="G62" s="26"/>
      <c r="H62" s="27">
        <f>+H53+H60</f>
        <v>56494.148927999995</v>
      </c>
      <c r="I62" s="27"/>
      <c r="J62" s="27">
        <f>+J53+J60</f>
        <v>57369.19328</v>
      </c>
      <c r="K62" s="62">
        <f>+K53+K60</f>
        <v>454.29324800000012</v>
      </c>
      <c r="L62" s="73">
        <f>+L53+L60</f>
        <v>570.6624000000005</v>
      </c>
      <c r="M62" s="52">
        <f>+M53+M60</f>
        <v>0</v>
      </c>
      <c r="N62" s="27">
        <f>+N53+N60</f>
        <v>0</v>
      </c>
      <c r="O62" s="27"/>
      <c r="P62" s="28">
        <f>+P53+P60</f>
        <v>58394.148927999995</v>
      </c>
    </row>
    <row r="63" spans="1:16" ht="15" thickBot="1" x14ac:dyDescent="0.4">
      <c r="H63" s="17"/>
      <c r="I63" s="17"/>
      <c r="J63" s="17"/>
      <c r="K63" s="59"/>
      <c r="L63" s="70"/>
      <c r="M63" s="49"/>
      <c r="N63" s="17"/>
      <c r="O63" s="17"/>
      <c r="P63" s="35"/>
    </row>
    <row r="64" spans="1:16" ht="15" thickBot="1" x14ac:dyDescent="0.4">
      <c r="A64" s="36" t="s">
        <v>388</v>
      </c>
      <c r="B64" s="41"/>
      <c r="C64" s="37"/>
      <c r="D64" s="37"/>
      <c r="E64" s="87"/>
      <c r="F64" s="87"/>
      <c r="G64" s="37"/>
      <c r="H64" s="38">
        <f>+P64</f>
        <v>45274.798332800005</v>
      </c>
      <c r="I64" s="38"/>
      <c r="J64" s="38">
        <f>+'GRANT TOTAL REQUEST worksheet'!C35</f>
        <v>38251.528848000009</v>
      </c>
      <c r="K64" s="65">
        <f>+(K62+K44+K23)*0.1</f>
        <v>1688.3857728000003</v>
      </c>
      <c r="L64" s="76">
        <f>(+L62+L44+L23)*0.1</f>
        <v>1204.9277120000006</v>
      </c>
      <c r="M64" s="76">
        <f>(+M62+M44+M23)*0.1</f>
        <v>717.45600000000013</v>
      </c>
      <c r="N64" s="76">
        <f>(+N62+N44+N23)*0.1</f>
        <v>3412.5</v>
      </c>
      <c r="O64" s="39"/>
      <c r="P64" s="40">
        <f>SUM(J64:N64)</f>
        <v>45274.798332800005</v>
      </c>
    </row>
    <row r="65" spans="1:16" ht="15" thickBot="1" x14ac:dyDescent="0.4">
      <c r="H65" s="17"/>
      <c r="I65" s="17"/>
      <c r="J65" s="17"/>
      <c r="K65" s="59"/>
      <c r="L65" s="70"/>
      <c r="M65" s="49"/>
      <c r="N65" s="17"/>
      <c r="O65" s="17"/>
      <c r="P65" s="17"/>
    </row>
    <row r="66" spans="1:16" ht="15" thickBot="1" x14ac:dyDescent="0.4">
      <c r="A66" s="36" t="s">
        <v>389</v>
      </c>
      <c r="B66" s="41"/>
      <c r="C66" s="41"/>
      <c r="D66" s="41"/>
      <c r="E66" s="88"/>
      <c r="F66" s="98"/>
      <c r="G66" s="41"/>
      <c r="H66" s="42">
        <f>+H23+H44+H62+H64</f>
        <v>859123.92152746662</v>
      </c>
      <c r="I66" s="42"/>
      <c r="J66" s="42">
        <f>+J23+J44+J62+J64</f>
        <v>860898.95719466673</v>
      </c>
      <c r="K66" s="66">
        <f>+K23+K44+K62+K64</f>
        <v>18572.243500800007</v>
      </c>
      <c r="L66" s="77">
        <f>+L23+L44+L62+L64</f>
        <v>13254.204832000007</v>
      </c>
      <c r="M66" s="55">
        <f>+M23+M44+M62+M64</f>
        <v>7892.0160000000005</v>
      </c>
      <c r="N66" s="42">
        <f>+N23+N44+N62+N64</f>
        <v>37537.5</v>
      </c>
      <c r="O66" s="42"/>
      <c r="P66" s="43">
        <f>+P23+P44+P62+P64</f>
        <v>938154.92152746674</v>
      </c>
    </row>
    <row r="67" spans="1:16" x14ac:dyDescent="0.35">
      <c r="C67" s="44" t="s">
        <v>390</v>
      </c>
      <c r="H67" s="17"/>
      <c r="I67" s="17"/>
      <c r="J67" s="17"/>
      <c r="K67" s="59"/>
      <c r="L67" s="70"/>
      <c r="M67" s="49"/>
      <c r="N67" s="17"/>
      <c r="O67" s="17"/>
      <c r="P67" s="17"/>
    </row>
    <row r="68" spans="1:16" ht="14.25" customHeight="1" x14ac:dyDescent="0.35">
      <c r="C68" t="s">
        <v>391</v>
      </c>
      <c r="H68" s="45">
        <f>H23/H66</f>
        <v>0.46701758641909641</v>
      </c>
      <c r="I68" s="17"/>
      <c r="J68" s="17"/>
      <c r="K68" s="59"/>
      <c r="L68" s="70"/>
      <c r="M68" s="49"/>
      <c r="N68" s="17"/>
      <c r="O68" s="17"/>
      <c r="P68" s="17"/>
    </row>
    <row r="69" spans="1:16" x14ac:dyDescent="0.35">
      <c r="C69" t="s">
        <v>392</v>
      </c>
      <c r="H69" s="234">
        <f>H44/H66</f>
        <v>0.41452575708382755</v>
      </c>
      <c r="I69" s="17"/>
      <c r="J69" s="17"/>
      <c r="K69" s="59"/>
      <c r="L69" s="70"/>
      <c r="M69" s="49"/>
      <c r="N69" s="17"/>
      <c r="O69" s="17"/>
      <c r="P69" s="17"/>
    </row>
    <row r="70" spans="1:16" x14ac:dyDescent="0.35">
      <c r="C70" t="s">
        <v>393</v>
      </c>
      <c r="H70" s="234">
        <f>H62/H66</f>
        <v>6.5757858106845701E-2</v>
      </c>
      <c r="I70" s="17"/>
      <c r="J70" s="17"/>
      <c r="K70" s="59"/>
      <c r="L70" s="70"/>
      <c r="M70" s="49"/>
      <c r="N70" s="17"/>
      <c r="O70" s="17"/>
      <c r="P70" s="17"/>
    </row>
    <row r="71" spans="1:16" x14ac:dyDescent="0.35">
      <c r="H71" s="45">
        <f>SUM(H68:H70)</f>
        <v>0.94730120160976972</v>
      </c>
      <c r="I71" s="17"/>
      <c r="J71" s="17"/>
      <c r="K71" s="59"/>
      <c r="L71" s="70"/>
      <c r="M71" s="49"/>
      <c r="N71" s="17"/>
      <c r="O71" s="17"/>
      <c r="P71" s="17"/>
    </row>
    <row r="72" spans="1:16" x14ac:dyDescent="0.35">
      <c r="H72" s="17"/>
      <c r="I72" s="17"/>
      <c r="J72" s="17"/>
      <c r="K72" s="59"/>
      <c r="L72" s="70"/>
      <c r="M72" s="49"/>
      <c r="N72" s="17"/>
      <c r="O72" s="17"/>
      <c r="P72" s="17"/>
    </row>
    <row r="73" spans="1:16" x14ac:dyDescent="0.35">
      <c r="H73" s="17"/>
      <c r="I73" s="17"/>
      <c r="J73" s="17"/>
      <c r="K73" s="59"/>
      <c r="L73" s="70"/>
      <c r="M73" s="49"/>
      <c r="N73" s="17"/>
      <c r="O73" s="17"/>
      <c r="P73" s="17"/>
    </row>
    <row r="74" spans="1:16" x14ac:dyDescent="0.35">
      <c r="H74" s="17"/>
      <c r="I74" s="17"/>
      <c r="J74" s="17"/>
      <c r="K74" s="59"/>
      <c r="L74" s="70"/>
      <c r="M74" s="49"/>
      <c r="N74" s="17"/>
      <c r="O74" s="17"/>
      <c r="P74" s="17"/>
    </row>
    <row r="75" spans="1:16" x14ac:dyDescent="0.35">
      <c r="H75" s="17"/>
      <c r="I75" s="17"/>
      <c r="J75" s="17"/>
      <c r="K75" s="59"/>
      <c r="L75" s="70"/>
      <c r="M75" s="49"/>
      <c r="N75" s="17"/>
      <c r="O75" s="17"/>
      <c r="P75" s="17"/>
    </row>
    <row r="76" spans="1:16" x14ac:dyDescent="0.35">
      <c r="H76" s="17"/>
      <c r="I76" s="17"/>
      <c r="J76" s="17"/>
      <c r="K76" s="59"/>
      <c r="L76" s="70"/>
      <c r="M76" s="49"/>
      <c r="N76" s="17"/>
      <c r="O76" s="17"/>
      <c r="P76" s="17"/>
    </row>
    <row r="77" spans="1:16" x14ac:dyDescent="0.35">
      <c r="H77" s="17"/>
      <c r="I77" s="17"/>
      <c r="J77" s="17"/>
      <c r="K77" s="59"/>
      <c r="L77" s="70"/>
      <c r="M77" s="49"/>
      <c r="N77" s="17"/>
      <c r="O77" s="17"/>
      <c r="P77" s="17"/>
    </row>
    <row r="78" spans="1:16" x14ac:dyDescent="0.35">
      <c r="H78" s="17"/>
      <c r="I78" s="17"/>
      <c r="J78" s="17"/>
      <c r="K78" s="59"/>
      <c r="L78" s="70"/>
      <c r="M78" s="49"/>
      <c r="N78" s="17"/>
      <c r="O78" s="17"/>
      <c r="P78" s="17"/>
    </row>
    <row r="79" spans="1:16" x14ac:dyDescent="0.35">
      <c r="H79" s="17"/>
      <c r="I79" s="17"/>
      <c r="J79" s="17"/>
      <c r="K79" s="59"/>
      <c r="L79" s="70"/>
      <c r="M79" s="49"/>
      <c r="N79" s="17"/>
      <c r="O79" s="17"/>
      <c r="P79" s="17"/>
    </row>
    <row r="80" spans="1:16" x14ac:dyDescent="0.35">
      <c r="H80" s="17"/>
      <c r="I80" s="17"/>
      <c r="J80" s="17"/>
      <c r="K80" s="59"/>
      <c r="L80" s="70"/>
      <c r="M80" s="49"/>
      <c r="N80" s="17"/>
      <c r="O80" s="17"/>
      <c r="P80" s="17"/>
    </row>
    <row r="81" spans="8:16" x14ac:dyDescent="0.35">
      <c r="H81" s="17"/>
      <c r="I81" s="17"/>
      <c r="J81" s="17"/>
      <c r="K81" s="59"/>
      <c r="L81" s="70"/>
      <c r="M81" s="49"/>
      <c r="N81" s="17"/>
      <c r="O81" s="17"/>
      <c r="P81" s="17"/>
    </row>
    <row r="82" spans="8:16" x14ac:dyDescent="0.35">
      <c r="H82" s="17"/>
      <c r="I82" s="17"/>
      <c r="J82" s="17"/>
      <c r="K82" s="59"/>
      <c r="L82" s="70"/>
      <c r="M82" s="49"/>
      <c r="N82" s="17"/>
      <c r="O82" s="17"/>
      <c r="P82" s="17"/>
    </row>
    <row r="83" spans="8:16" x14ac:dyDescent="0.35">
      <c r="H83" s="17"/>
      <c r="I83" s="17"/>
      <c r="J83" s="17"/>
      <c r="K83" s="59"/>
      <c r="L83" s="70"/>
      <c r="M83" s="49"/>
      <c r="N83" s="17"/>
      <c r="O83" s="17"/>
      <c r="P83" s="17"/>
    </row>
    <row r="84" spans="8:16" x14ac:dyDescent="0.35">
      <c r="H84" s="17"/>
      <c r="I84" s="17"/>
      <c r="J84" s="17"/>
      <c r="K84" s="59"/>
      <c r="L84" s="70"/>
      <c r="M84" s="49"/>
      <c r="N84" s="17"/>
      <c r="O84" s="17"/>
      <c r="P84" s="17"/>
    </row>
    <row r="85" spans="8:16" x14ac:dyDescent="0.35">
      <c r="H85" s="17"/>
      <c r="I85" s="17"/>
      <c r="J85" s="17"/>
      <c r="K85" s="59"/>
      <c r="L85" s="70"/>
      <c r="M85" s="49"/>
      <c r="N85" s="17"/>
      <c r="O85" s="17"/>
      <c r="P85" s="17"/>
    </row>
    <row r="86" spans="8:16" x14ac:dyDescent="0.35">
      <c r="H86" s="17"/>
      <c r="I86" s="17"/>
      <c r="J86" s="17"/>
      <c r="K86" s="59"/>
      <c r="L86" s="70"/>
      <c r="M86" s="49"/>
      <c r="N86" s="17"/>
      <c r="O86" s="17"/>
      <c r="P86" s="17"/>
    </row>
    <row r="87" spans="8:16" x14ac:dyDescent="0.35">
      <c r="H87" s="17"/>
      <c r="I87" s="17"/>
      <c r="J87" s="17"/>
      <c r="K87" s="59"/>
      <c r="L87" s="70"/>
      <c r="M87" s="49"/>
      <c r="N87" s="17"/>
      <c r="O87" s="17"/>
      <c r="P87" s="17"/>
    </row>
    <row r="88" spans="8:16" x14ac:dyDescent="0.35">
      <c r="H88" s="17"/>
      <c r="I88" s="17"/>
      <c r="J88" s="17"/>
      <c r="K88" s="59"/>
      <c r="L88" s="70"/>
      <c r="M88" s="49"/>
      <c r="N88" s="17"/>
      <c r="O88" s="17"/>
      <c r="P88" s="17"/>
    </row>
    <row r="89" spans="8:16" x14ac:dyDescent="0.35">
      <c r="H89" s="17"/>
      <c r="I89" s="17"/>
      <c r="J89" s="17"/>
      <c r="K89" s="59"/>
      <c r="L89" s="70"/>
      <c r="M89" s="49"/>
      <c r="N89" s="17"/>
      <c r="O89" s="17"/>
      <c r="P89" s="17"/>
    </row>
    <row r="90" spans="8:16" x14ac:dyDescent="0.35">
      <c r="H90" s="17"/>
      <c r="I90" s="17"/>
      <c r="J90" s="17"/>
      <c r="K90" s="59"/>
      <c r="L90" s="70"/>
      <c r="M90" s="49"/>
      <c r="N90" s="17"/>
      <c r="O90" s="17"/>
      <c r="P90" s="17"/>
    </row>
    <row r="91" spans="8:16" x14ac:dyDescent="0.35">
      <c r="H91" s="17"/>
      <c r="I91" s="17"/>
      <c r="J91" s="17"/>
      <c r="K91" s="59"/>
      <c r="L91" s="70"/>
      <c r="M91" s="49"/>
      <c r="N91" s="17"/>
      <c r="O91" s="17"/>
      <c r="P91" s="17"/>
    </row>
    <row r="92" spans="8:16" x14ac:dyDescent="0.35">
      <c r="H92" s="17"/>
      <c r="I92" s="17"/>
      <c r="J92" s="17"/>
      <c r="K92" s="59"/>
      <c r="L92" s="70"/>
      <c r="M92" s="49"/>
      <c r="N92" s="17"/>
      <c r="O92" s="17"/>
      <c r="P92" s="17"/>
    </row>
    <row r="93" spans="8:16" x14ac:dyDescent="0.35">
      <c r="H93" s="17"/>
      <c r="I93" s="17"/>
      <c r="J93" s="17"/>
      <c r="K93" s="59"/>
      <c r="L93" s="70"/>
      <c r="M93" s="49"/>
      <c r="N93" s="17"/>
      <c r="O93" s="17"/>
      <c r="P93" s="17"/>
    </row>
    <row r="94" spans="8:16" x14ac:dyDescent="0.35">
      <c r="H94" s="17"/>
      <c r="I94" s="17"/>
      <c r="J94" s="17"/>
      <c r="K94" s="59"/>
      <c r="L94" s="70"/>
      <c r="M94" s="49"/>
      <c r="N94" s="17"/>
      <c r="O94" s="17"/>
      <c r="P94" s="17"/>
    </row>
    <row r="95" spans="8:16" x14ac:dyDescent="0.35">
      <c r="H95" s="17"/>
      <c r="I95" s="17"/>
      <c r="J95" s="17"/>
      <c r="K95" s="59"/>
      <c r="L95" s="70"/>
      <c r="M95" s="49"/>
      <c r="N95" s="17"/>
      <c r="O95" s="17"/>
      <c r="P95" s="17"/>
    </row>
    <row r="96" spans="8:16" x14ac:dyDescent="0.35">
      <c r="H96" s="17"/>
      <c r="I96" s="17"/>
      <c r="J96" s="17"/>
      <c r="K96" s="59"/>
      <c r="L96" s="70"/>
      <c r="M96" s="49"/>
      <c r="N96" s="17"/>
      <c r="O96" s="17"/>
      <c r="P96" s="17"/>
    </row>
    <row r="97" spans="8:16" x14ac:dyDescent="0.35">
      <c r="H97" s="17"/>
      <c r="I97" s="17"/>
      <c r="J97" s="17"/>
      <c r="K97" s="59"/>
      <c r="L97" s="70"/>
      <c r="M97" s="49"/>
      <c r="N97" s="17"/>
      <c r="O97" s="17"/>
      <c r="P97" s="17"/>
    </row>
    <row r="98" spans="8:16" x14ac:dyDescent="0.35">
      <c r="H98" s="17"/>
      <c r="I98" s="17"/>
      <c r="J98" s="17"/>
      <c r="K98" s="59"/>
      <c r="L98" s="70"/>
      <c r="M98" s="49"/>
      <c r="N98" s="17"/>
      <c r="O98" s="17"/>
      <c r="P98" s="17"/>
    </row>
    <row r="99" spans="8:16" x14ac:dyDescent="0.35">
      <c r="H99" s="17"/>
      <c r="I99" s="17"/>
      <c r="J99" s="17"/>
      <c r="K99" s="59"/>
      <c r="L99" s="70"/>
      <c r="M99" s="49"/>
      <c r="N99" s="17"/>
      <c r="O99" s="17"/>
      <c r="P99" s="17"/>
    </row>
    <row r="100" spans="8:16" x14ac:dyDescent="0.35">
      <c r="H100" s="17"/>
      <c r="I100" s="17"/>
      <c r="J100" s="17"/>
      <c r="K100" s="59"/>
      <c r="L100" s="70"/>
      <c r="M100" s="49"/>
      <c r="N100" s="17"/>
      <c r="O100" s="17"/>
      <c r="P100" s="17"/>
    </row>
    <row r="101" spans="8:16" x14ac:dyDescent="0.35">
      <c r="H101" s="17"/>
      <c r="I101" s="17"/>
      <c r="J101" s="17"/>
      <c r="K101" s="59"/>
      <c r="L101" s="70"/>
      <c r="M101" s="49"/>
      <c r="N101" s="17"/>
      <c r="O101" s="17"/>
      <c r="P101" s="17"/>
    </row>
    <row r="102" spans="8:16" x14ac:dyDescent="0.35">
      <c r="H102" s="17"/>
      <c r="I102" s="17"/>
      <c r="J102" s="17"/>
      <c r="K102" s="59"/>
      <c r="L102" s="70"/>
      <c r="M102" s="49"/>
      <c r="N102" s="17"/>
      <c r="O102" s="17"/>
      <c r="P102" s="17"/>
    </row>
    <row r="103" spans="8:16" x14ac:dyDescent="0.35">
      <c r="H103" s="17"/>
      <c r="I103" s="17"/>
      <c r="J103" s="17"/>
      <c r="K103" s="59"/>
      <c r="L103" s="70"/>
      <c r="M103" s="49"/>
      <c r="N103" s="17"/>
      <c r="O103" s="17"/>
      <c r="P103" s="17"/>
    </row>
    <row r="104" spans="8:16" x14ac:dyDescent="0.35">
      <c r="H104" s="17"/>
      <c r="I104" s="17"/>
      <c r="J104" s="17"/>
      <c r="K104" s="59"/>
      <c r="L104" s="70"/>
      <c r="M104" s="49"/>
      <c r="N104" s="17"/>
      <c r="O104" s="17"/>
      <c r="P104" s="17"/>
    </row>
    <row r="105" spans="8:16" x14ac:dyDescent="0.35">
      <c r="H105" s="17"/>
      <c r="I105" s="17"/>
      <c r="J105" s="17"/>
      <c r="K105" s="59"/>
      <c r="L105" s="70"/>
      <c r="M105" s="49"/>
      <c r="N105" s="17"/>
      <c r="O105" s="17"/>
      <c r="P105" s="17"/>
    </row>
    <row r="106" spans="8:16" x14ac:dyDescent="0.35">
      <c r="H106" s="17"/>
      <c r="I106" s="17"/>
      <c r="J106" s="17"/>
      <c r="K106" s="59"/>
      <c r="L106" s="70"/>
      <c r="M106" s="49"/>
      <c r="N106" s="17"/>
      <c r="O106" s="17"/>
      <c r="P106" s="17"/>
    </row>
    <row r="107" spans="8:16" x14ac:dyDescent="0.35">
      <c r="H107" s="17"/>
      <c r="I107" s="17"/>
      <c r="J107" s="17"/>
      <c r="K107" s="59"/>
      <c r="L107" s="70"/>
      <c r="M107" s="49"/>
      <c r="N107" s="17"/>
      <c r="O107" s="17"/>
      <c r="P107" s="17"/>
    </row>
    <row r="108" spans="8:16" x14ac:dyDescent="0.35">
      <c r="H108" s="17"/>
      <c r="I108" s="17"/>
      <c r="J108" s="17"/>
      <c r="K108" s="59"/>
      <c r="L108" s="70"/>
      <c r="M108" s="49"/>
      <c r="N108" s="17"/>
      <c r="O108" s="17"/>
      <c r="P108" s="17"/>
    </row>
    <row r="109" spans="8:16" x14ac:dyDescent="0.35">
      <c r="H109" s="17"/>
      <c r="I109" s="17"/>
      <c r="J109" s="17"/>
      <c r="K109" s="59"/>
      <c r="L109" s="70"/>
      <c r="M109" s="49"/>
      <c r="N109" s="17"/>
      <c r="O109" s="17"/>
      <c r="P109" s="17"/>
    </row>
    <row r="110" spans="8:16" x14ac:dyDescent="0.35">
      <c r="H110" s="17"/>
      <c r="I110" s="17"/>
      <c r="J110" s="17"/>
      <c r="K110" s="59"/>
      <c r="L110" s="70"/>
      <c r="M110" s="49"/>
      <c r="N110" s="17"/>
      <c r="O110" s="17"/>
      <c r="P110" s="17"/>
    </row>
    <row r="111" spans="8:16" x14ac:dyDescent="0.35">
      <c r="H111" s="17"/>
      <c r="I111" s="17"/>
      <c r="J111" s="17"/>
      <c r="K111" s="59"/>
      <c r="L111" s="70"/>
      <c r="M111" s="49"/>
      <c r="N111" s="17"/>
      <c r="O111" s="17"/>
      <c r="P111" s="17"/>
    </row>
    <row r="112" spans="8:16" x14ac:dyDescent="0.35">
      <c r="H112" s="17"/>
      <c r="I112" s="17"/>
      <c r="J112" s="17"/>
      <c r="K112" s="59"/>
      <c r="L112" s="70"/>
      <c r="M112" s="49"/>
      <c r="N112" s="17"/>
      <c r="O112" s="17"/>
      <c r="P112" s="17"/>
    </row>
    <row r="113" spans="8:16" x14ac:dyDescent="0.35">
      <c r="H113" s="17"/>
      <c r="I113" s="17"/>
      <c r="J113" s="17"/>
      <c r="K113" s="59"/>
      <c r="L113" s="70"/>
      <c r="M113" s="49"/>
      <c r="N113" s="17"/>
      <c r="O113" s="17"/>
      <c r="P113" s="17"/>
    </row>
    <row r="114" spans="8:16" x14ac:dyDescent="0.35">
      <c r="H114" s="17"/>
      <c r="I114" s="17"/>
      <c r="J114" s="17"/>
      <c r="K114" s="59"/>
      <c r="L114" s="70"/>
      <c r="M114" s="49"/>
      <c r="N114" s="17"/>
      <c r="O114" s="17"/>
      <c r="P114" s="17"/>
    </row>
    <row r="115" spans="8:16" x14ac:dyDescent="0.35">
      <c r="H115" s="17"/>
      <c r="I115" s="17"/>
      <c r="J115" s="17"/>
      <c r="K115" s="59"/>
      <c r="L115" s="70"/>
      <c r="M115" s="49"/>
      <c r="N115" s="17"/>
      <c r="O115" s="17"/>
      <c r="P115" s="17"/>
    </row>
    <row r="116" spans="8:16" x14ac:dyDescent="0.35">
      <c r="H116" s="17"/>
      <c r="I116" s="17"/>
      <c r="J116" s="17"/>
      <c r="K116" s="59"/>
      <c r="L116" s="70"/>
      <c r="M116" s="49"/>
      <c r="N116" s="17"/>
      <c r="O116" s="17"/>
      <c r="P116" s="17"/>
    </row>
    <row r="117" spans="8:16" x14ac:dyDescent="0.35">
      <c r="H117" s="17"/>
      <c r="I117" s="17"/>
      <c r="J117" s="17"/>
      <c r="K117" s="59"/>
      <c r="L117" s="70"/>
      <c r="M117" s="49"/>
      <c r="N117" s="17"/>
      <c r="O117" s="17"/>
      <c r="P117" s="17"/>
    </row>
  </sheetData>
  <mergeCells count="7">
    <mergeCell ref="A60:D60"/>
    <mergeCell ref="A62:D62"/>
    <mergeCell ref="K2:L2"/>
    <mergeCell ref="J4:N4"/>
    <mergeCell ref="A5:D5"/>
    <mergeCell ref="A44:D44"/>
    <mergeCell ref="A53:D53"/>
  </mergeCells>
  <pageMargins left="0.25" right="0.25" top="0.28000000000000003" bottom="0.25" header="0.3" footer="0.3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18"/>
  <sheetViews>
    <sheetView tabSelected="1" zoomScale="90" zoomScaleNormal="90" workbookViewId="0">
      <selection activeCell="H4" sqref="H4"/>
    </sheetView>
  </sheetViews>
  <sheetFormatPr defaultColWidth="1.7265625" defaultRowHeight="14.5" x14ac:dyDescent="0.35"/>
  <cols>
    <col min="1" max="2" width="2.7265625" customWidth="1"/>
    <col min="3" max="3" width="46.54296875" customWidth="1"/>
    <col min="4" max="4" width="1.7265625" customWidth="1"/>
    <col min="5" max="5" width="7.26953125" customWidth="1"/>
    <col min="6" max="6" width="6.1796875" style="5" customWidth="1"/>
    <col min="7" max="7" width="1.7265625" customWidth="1"/>
    <col min="8" max="10" width="16.54296875" customWidth="1"/>
    <col min="11" max="11" width="2.1796875" customWidth="1"/>
    <col min="12" max="12" width="16.54296875" customWidth="1"/>
    <col min="13" max="13" width="2.453125" customWidth="1"/>
    <col min="14" max="14" width="16.81640625" customWidth="1"/>
    <col min="15" max="15" width="2.453125" customWidth="1"/>
    <col min="16" max="16" width="16.54296875" style="531" customWidth="1"/>
    <col min="17" max="17" width="92.81640625" customWidth="1"/>
    <col min="18" max="255" width="9.1796875" customWidth="1"/>
    <col min="256" max="257" width="2.7265625" customWidth="1"/>
    <col min="258" max="258" width="49.26953125" customWidth="1"/>
  </cols>
  <sheetData>
    <row r="1" spans="1:22" s="544" customFormat="1" ht="23.5" x14ac:dyDescent="0.55000000000000004">
      <c r="P1" s="546"/>
    </row>
    <row r="2" spans="1:22" s="548" customFormat="1" ht="23.5" x14ac:dyDescent="0.55000000000000004">
      <c r="A2" s="543" t="s">
        <v>434</v>
      </c>
      <c r="B2" s="544"/>
      <c r="C2" s="544"/>
      <c r="D2" s="544"/>
      <c r="E2" s="544"/>
      <c r="F2" s="545"/>
      <c r="G2" s="544"/>
      <c r="H2" s="544"/>
      <c r="P2" s="550"/>
    </row>
    <row r="3" spans="1:22" s="548" customFormat="1" ht="18.5" x14ac:dyDescent="0.45">
      <c r="A3" s="547" t="s">
        <v>432</v>
      </c>
      <c r="F3" s="549"/>
      <c r="P3" s="550"/>
    </row>
    <row r="4" spans="1:22" ht="15.5" x14ac:dyDescent="0.35">
      <c r="A4" s="3"/>
      <c r="B4" s="265"/>
    </row>
    <row r="5" spans="1:22" ht="15" thickBot="1" x14ac:dyDescent="0.4">
      <c r="A5" s="4"/>
      <c r="B5" s="4"/>
      <c r="H5" s="5"/>
      <c r="I5" s="5"/>
      <c r="J5" s="5"/>
      <c r="K5" s="5"/>
      <c r="L5" s="532"/>
      <c r="M5" s="532"/>
      <c r="N5" s="532"/>
    </row>
    <row r="6" spans="1:22" ht="40" customHeight="1" x14ac:dyDescent="0.35">
      <c r="A6" s="6"/>
      <c r="B6" s="7"/>
      <c r="C6" s="7"/>
      <c r="D6" s="7"/>
      <c r="E6" s="7"/>
      <c r="F6" s="8"/>
      <c r="G6" s="7"/>
      <c r="H6" s="613" t="s">
        <v>352</v>
      </c>
      <c r="I6" s="613"/>
      <c r="J6" s="613"/>
      <c r="K6" s="7"/>
      <c r="L6" s="616" t="s">
        <v>394</v>
      </c>
      <c r="M6" s="616"/>
      <c r="N6" s="616"/>
      <c r="O6" s="7"/>
      <c r="P6" s="542" t="s">
        <v>395</v>
      </c>
    </row>
    <row r="7" spans="1:22" ht="29.15" customHeight="1" thickBot="1" x14ac:dyDescent="0.4">
      <c r="A7" s="610" t="s">
        <v>353</v>
      </c>
      <c r="B7" s="611"/>
      <c r="C7" s="611"/>
      <c r="D7" s="611"/>
      <c r="E7" s="10" t="s">
        <v>354</v>
      </c>
      <c r="F7" s="10" t="s">
        <v>259</v>
      </c>
      <c r="G7" s="10"/>
      <c r="H7" s="81" t="s">
        <v>396</v>
      </c>
      <c r="I7" s="81" t="s">
        <v>397</v>
      </c>
      <c r="J7" s="551" t="s">
        <v>398</v>
      </c>
      <c r="K7" s="11"/>
      <c r="L7" s="533" t="s">
        <v>355</v>
      </c>
      <c r="M7" s="533"/>
      <c r="N7" s="533" t="s">
        <v>426</v>
      </c>
      <c r="O7" s="11"/>
      <c r="P7" s="12" t="s">
        <v>433</v>
      </c>
    </row>
    <row r="8" spans="1:22" ht="15.75" customHeight="1" thickBot="1" x14ac:dyDescent="0.4">
      <c r="A8" s="34"/>
      <c r="B8" s="5"/>
      <c r="C8" s="5"/>
      <c r="D8" s="5"/>
      <c r="E8" s="5"/>
      <c r="G8" s="5"/>
      <c r="H8" s="5"/>
      <c r="I8" s="5"/>
      <c r="J8" s="5"/>
      <c r="L8" s="532"/>
      <c r="M8" s="532"/>
      <c r="N8" s="532"/>
      <c r="P8" s="91"/>
      <c r="S8" s="552"/>
      <c r="T8" s="552"/>
      <c r="U8" s="552"/>
      <c r="V8" s="552"/>
    </row>
    <row r="9" spans="1:22" ht="14.25" customHeight="1" x14ac:dyDescent="0.35">
      <c r="A9" s="13" t="s">
        <v>399</v>
      </c>
      <c r="B9" s="14"/>
      <c r="C9" s="14"/>
      <c r="D9" s="14"/>
      <c r="E9" s="266"/>
      <c r="F9" s="90"/>
      <c r="G9" s="14"/>
      <c r="H9" s="14"/>
      <c r="I9" s="14"/>
      <c r="J9" s="14"/>
      <c r="K9" s="14"/>
      <c r="L9" s="534"/>
      <c r="M9" s="534"/>
      <c r="N9" s="534"/>
      <c r="O9" s="14"/>
      <c r="P9" s="9" t="s">
        <v>360</v>
      </c>
      <c r="S9" s="552"/>
      <c r="T9" s="552"/>
      <c r="U9" s="552"/>
      <c r="V9" s="552"/>
    </row>
    <row r="10" spans="1:22" ht="15" customHeight="1" x14ac:dyDescent="0.35">
      <c r="A10" s="15"/>
      <c r="B10" s="4"/>
      <c r="C10" t="s">
        <v>400</v>
      </c>
      <c r="E10" s="528"/>
      <c r="F10" s="529"/>
      <c r="H10" s="558">
        <v>0</v>
      </c>
      <c r="I10" s="558">
        <v>0</v>
      </c>
      <c r="J10" s="558">
        <v>0</v>
      </c>
      <c r="K10" s="570"/>
      <c r="L10" s="558">
        <v>0</v>
      </c>
      <c r="M10" s="558"/>
      <c r="N10" s="558">
        <v>0</v>
      </c>
      <c r="O10" s="17"/>
      <c r="P10" s="557">
        <f>SUM(L10+N10)</f>
        <v>0</v>
      </c>
      <c r="Q10" s="17"/>
      <c r="R10" s="17"/>
      <c r="S10" s="552"/>
      <c r="T10" s="552"/>
      <c r="U10" s="552"/>
      <c r="V10" s="552"/>
    </row>
    <row r="11" spans="1:22" ht="15" customHeight="1" x14ac:dyDescent="0.35">
      <c r="A11" s="15"/>
      <c r="C11" t="s">
        <v>401</v>
      </c>
      <c r="E11" s="528"/>
      <c r="F11" s="529"/>
      <c r="H11" s="558">
        <v>0</v>
      </c>
      <c r="I11" s="558">
        <v>0</v>
      </c>
      <c r="J11" s="558">
        <v>0</v>
      </c>
      <c r="K11" s="570"/>
      <c r="L11" s="558">
        <v>0</v>
      </c>
      <c r="M11" s="558"/>
      <c r="N11" s="558">
        <v>0</v>
      </c>
      <c r="O11" s="17"/>
      <c r="P11" s="557">
        <f t="shared" ref="P11:P18" si="0">SUM(L11+N11)</f>
        <v>0</v>
      </c>
      <c r="Q11" s="17"/>
      <c r="R11" s="17"/>
      <c r="S11" s="553"/>
      <c r="T11" s="552"/>
      <c r="U11" s="552"/>
      <c r="V11" s="552"/>
    </row>
    <row r="12" spans="1:22" ht="15" customHeight="1" x14ac:dyDescent="0.35">
      <c r="A12" s="15"/>
      <c r="C12" t="s">
        <v>402</v>
      </c>
      <c r="E12" s="528"/>
      <c r="F12" s="529"/>
      <c r="H12" s="558">
        <v>0</v>
      </c>
      <c r="I12" s="558">
        <v>0</v>
      </c>
      <c r="J12" s="558">
        <v>0</v>
      </c>
      <c r="K12" s="570"/>
      <c r="L12" s="558">
        <v>0</v>
      </c>
      <c r="M12" s="558"/>
      <c r="N12" s="558">
        <v>0</v>
      </c>
      <c r="O12" s="17"/>
      <c r="P12" s="557">
        <f t="shared" si="0"/>
        <v>0</v>
      </c>
      <c r="Q12" s="17"/>
      <c r="R12" s="17"/>
      <c r="S12" s="552"/>
      <c r="T12" s="552"/>
      <c r="U12" s="552"/>
      <c r="V12" s="552"/>
    </row>
    <row r="13" spans="1:22" ht="15" customHeight="1" x14ac:dyDescent="0.35">
      <c r="A13" s="15"/>
      <c r="C13" t="s">
        <v>403</v>
      </c>
      <c r="E13" s="528"/>
      <c r="F13" s="529"/>
      <c r="H13" s="558">
        <v>0</v>
      </c>
      <c r="I13" s="558">
        <v>0</v>
      </c>
      <c r="J13" s="558">
        <v>0</v>
      </c>
      <c r="K13" s="570"/>
      <c r="L13" s="558">
        <v>0</v>
      </c>
      <c r="M13" s="558"/>
      <c r="N13" s="558">
        <v>0</v>
      </c>
      <c r="O13" s="17"/>
      <c r="P13" s="557">
        <f t="shared" si="0"/>
        <v>0</v>
      </c>
      <c r="Q13" s="17"/>
      <c r="R13" s="17"/>
      <c r="S13" s="552"/>
      <c r="T13" s="552"/>
      <c r="U13" s="552"/>
      <c r="V13" s="552"/>
    </row>
    <row r="14" spans="1:22" ht="15" customHeight="1" x14ac:dyDescent="0.35">
      <c r="A14" s="15"/>
      <c r="C14" t="s">
        <v>404</v>
      </c>
      <c r="E14" s="528"/>
      <c r="F14" s="529"/>
      <c r="H14" s="558">
        <v>0</v>
      </c>
      <c r="I14" s="558">
        <v>0</v>
      </c>
      <c r="J14" s="558">
        <v>0</v>
      </c>
      <c r="K14" s="570"/>
      <c r="L14" s="558">
        <v>0</v>
      </c>
      <c r="M14" s="558"/>
      <c r="N14" s="558">
        <v>0</v>
      </c>
      <c r="O14" s="17"/>
      <c r="P14" s="557">
        <f t="shared" si="0"/>
        <v>0</v>
      </c>
      <c r="Q14" s="17"/>
      <c r="R14" s="17"/>
      <c r="S14" s="552"/>
      <c r="T14" s="552"/>
      <c r="U14" s="552"/>
      <c r="V14" s="552"/>
    </row>
    <row r="15" spans="1:22" ht="15" customHeight="1" x14ac:dyDescent="0.35">
      <c r="A15" s="15"/>
      <c r="C15" t="s">
        <v>405</v>
      </c>
      <c r="E15" s="528"/>
      <c r="F15" s="529"/>
      <c r="H15" s="558">
        <v>0</v>
      </c>
      <c r="I15" s="558">
        <v>0</v>
      </c>
      <c r="J15" s="558">
        <v>0</v>
      </c>
      <c r="K15" s="570"/>
      <c r="L15" s="558">
        <v>0</v>
      </c>
      <c r="M15" s="558"/>
      <c r="N15" s="558">
        <v>0</v>
      </c>
      <c r="O15" s="17"/>
      <c r="P15" s="557">
        <f t="shared" si="0"/>
        <v>0</v>
      </c>
      <c r="Q15" s="17"/>
      <c r="R15" s="17"/>
      <c r="S15" s="552"/>
      <c r="T15" s="552"/>
      <c r="U15" s="552"/>
      <c r="V15" s="552"/>
    </row>
    <row r="16" spans="1:22" x14ac:dyDescent="0.35">
      <c r="A16" s="15"/>
      <c r="C16" t="s">
        <v>406</v>
      </c>
      <c r="E16" s="528"/>
      <c r="F16" s="529"/>
      <c r="H16" s="558">
        <v>0</v>
      </c>
      <c r="I16" s="558">
        <v>0</v>
      </c>
      <c r="J16" s="558">
        <v>0</v>
      </c>
      <c r="K16" s="570"/>
      <c r="L16" s="558">
        <v>0</v>
      </c>
      <c r="M16" s="558"/>
      <c r="N16" s="558">
        <v>0</v>
      </c>
      <c r="O16" s="17"/>
      <c r="P16" s="557">
        <f t="shared" si="0"/>
        <v>0</v>
      </c>
      <c r="Q16" s="17"/>
      <c r="R16" s="17"/>
      <c r="S16" s="554"/>
      <c r="T16" s="554"/>
      <c r="U16" s="554"/>
      <c r="V16" s="554"/>
    </row>
    <row r="17" spans="1:22" x14ac:dyDescent="0.35">
      <c r="A17" s="15"/>
      <c r="C17" t="s">
        <v>25</v>
      </c>
      <c r="E17" s="528"/>
      <c r="F17" s="529"/>
      <c r="H17" s="558">
        <v>0</v>
      </c>
      <c r="I17" s="558">
        <v>0</v>
      </c>
      <c r="J17" s="558">
        <v>0</v>
      </c>
      <c r="K17" s="570"/>
      <c r="L17" s="558">
        <v>0</v>
      </c>
      <c r="M17" s="558"/>
      <c r="N17" s="558">
        <v>0</v>
      </c>
      <c r="O17" s="17"/>
      <c r="P17" s="557">
        <f t="shared" si="0"/>
        <v>0</v>
      </c>
      <c r="Q17" s="17"/>
      <c r="R17" s="17"/>
      <c r="S17" s="554"/>
      <c r="T17" s="554"/>
      <c r="U17" s="554"/>
      <c r="V17" s="554"/>
    </row>
    <row r="18" spans="1:22" x14ac:dyDescent="0.35">
      <c r="A18" s="15"/>
      <c r="C18" t="s">
        <v>407</v>
      </c>
      <c r="E18" s="267"/>
      <c r="F18" s="91"/>
      <c r="H18" s="558">
        <v>0</v>
      </c>
      <c r="I18" s="558">
        <v>0</v>
      </c>
      <c r="J18" s="558">
        <v>0</v>
      </c>
      <c r="K18" s="570"/>
      <c r="L18" s="558">
        <v>0</v>
      </c>
      <c r="M18" s="558"/>
      <c r="N18" s="558">
        <v>0</v>
      </c>
      <c r="O18" s="17"/>
      <c r="P18" s="557">
        <f t="shared" si="0"/>
        <v>0</v>
      </c>
      <c r="Q18" s="17"/>
      <c r="R18" s="17"/>
      <c r="S18" s="554"/>
      <c r="T18" s="554"/>
      <c r="U18" s="554"/>
      <c r="V18" s="554"/>
    </row>
    <row r="19" spans="1:22" x14ac:dyDescent="0.35">
      <c r="A19" s="20"/>
      <c r="B19" s="21"/>
      <c r="C19" s="22" t="s">
        <v>408</v>
      </c>
      <c r="D19" s="21"/>
      <c r="E19" s="20"/>
      <c r="F19" s="95"/>
      <c r="G19" s="21"/>
      <c r="H19" s="23">
        <f>SUM(H10:H18)</f>
        <v>0</v>
      </c>
      <c r="I19" s="23">
        <f>SUM(I10:I18)</f>
        <v>0</v>
      </c>
      <c r="J19" s="23">
        <f>SUM(J10:J18)</f>
        <v>0</v>
      </c>
      <c r="K19" s="23"/>
      <c r="L19" s="535">
        <f>SUM(L10:L18)</f>
        <v>0</v>
      </c>
      <c r="M19" s="535"/>
      <c r="N19" s="535">
        <f>SUM(N10:N18)</f>
        <v>0</v>
      </c>
      <c r="O19" s="23"/>
      <c r="P19" s="24">
        <f>SUM(P10:P18)</f>
        <v>0</v>
      </c>
      <c r="Q19" s="17"/>
      <c r="R19" s="17"/>
      <c r="S19" s="17"/>
    </row>
    <row r="20" spans="1:22" s="530" customFormat="1" ht="12.5" x14ac:dyDescent="0.25">
      <c r="A20" s="559"/>
      <c r="L20" s="560"/>
      <c r="M20" s="560"/>
      <c r="N20" s="560"/>
      <c r="P20" s="561"/>
    </row>
    <row r="21" spans="1:22" x14ac:dyDescent="0.35">
      <c r="A21" s="527" t="s">
        <v>409</v>
      </c>
      <c r="B21" s="562"/>
      <c r="C21" s="563"/>
      <c r="D21" s="562"/>
      <c r="E21" s="267"/>
      <c r="F21" s="91"/>
      <c r="G21" s="562"/>
      <c r="H21" s="564"/>
      <c r="I21" s="564"/>
      <c r="J21" s="564"/>
      <c r="K21" s="564"/>
      <c r="L21" s="565"/>
      <c r="M21" s="565"/>
      <c r="N21" s="565"/>
      <c r="O21" s="564"/>
      <c r="P21" s="18"/>
      <c r="Q21" s="17"/>
      <c r="R21" s="17"/>
      <c r="S21" s="17"/>
    </row>
    <row r="22" spans="1:22" ht="15" customHeight="1" x14ac:dyDescent="0.35">
      <c r="A22" s="15"/>
      <c r="B22" s="4"/>
      <c r="C22" t="s">
        <v>59</v>
      </c>
      <c r="E22" s="267"/>
      <c r="F22" s="91"/>
      <c r="H22" s="558">
        <v>0</v>
      </c>
      <c r="I22" s="558">
        <v>0</v>
      </c>
      <c r="J22" s="558">
        <v>0</v>
      </c>
      <c r="K22" s="570"/>
      <c r="L22" s="558">
        <v>0</v>
      </c>
      <c r="M22" s="558"/>
      <c r="N22" s="558">
        <v>0</v>
      </c>
      <c r="O22" s="17"/>
      <c r="P22" s="557">
        <f>SUM(L22+N22)</f>
        <v>0</v>
      </c>
      <c r="Q22" s="17"/>
      <c r="R22" s="17"/>
      <c r="S22" s="615"/>
      <c r="T22" s="615"/>
      <c r="U22" s="615"/>
      <c r="V22" s="615"/>
    </row>
    <row r="23" spans="1:22" ht="15" customHeight="1" x14ac:dyDescent="0.35">
      <c r="A23" s="15"/>
      <c r="C23" t="s">
        <v>410</v>
      </c>
      <c r="E23" s="267"/>
      <c r="F23" s="91"/>
      <c r="H23" s="558">
        <v>0</v>
      </c>
      <c r="I23" s="558">
        <v>0</v>
      </c>
      <c r="J23" s="558">
        <v>0</v>
      </c>
      <c r="K23" s="570"/>
      <c r="L23" s="558">
        <v>0</v>
      </c>
      <c r="M23" s="558"/>
      <c r="N23" s="558">
        <v>0</v>
      </c>
      <c r="O23" s="17"/>
      <c r="P23" s="557">
        <f t="shared" ref="P23:P29" si="1">SUM(L23+N23)</f>
        <v>0</v>
      </c>
      <c r="Q23" s="17"/>
      <c r="R23" s="17"/>
      <c r="S23" s="615"/>
      <c r="T23" s="615"/>
      <c r="U23" s="615"/>
      <c r="V23" s="615"/>
    </row>
    <row r="24" spans="1:22" ht="15" customHeight="1" x14ac:dyDescent="0.35">
      <c r="A24" s="15"/>
      <c r="C24" t="s">
        <v>411</v>
      </c>
      <c r="E24" s="267"/>
      <c r="F24" s="91"/>
      <c r="H24" s="558">
        <v>0</v>
      </c>
      <c r="I24" s="558">
        <v>0</v>
      </c>
      <c r="J24" s="558">
        <v>0</v>
      </c>
      <c r="K24" s="570"/>
      <c r="L24" s="558">
        <v>0</v>
      </c>
      <c r="M24" s="558"/>
      <c r="N24" s="558">
        <v>0</v>
      </c>
      <c r="O24" s="17"/>
      <c r="P24" s="557">
        <f t="shared" si="1"/>
        <v>0</v>
      </c>
      <c r="Q24" s="17"/>
      <c r="R24" s="17"/>
      <c r="S24" s="615"/>
      <c r="T24" s="615"/>
      <c r="U24" s="615"/>
      <c r="V24" s="615"/>
    </row>
    <row r="25" spans="1:22" ht="15" customHeight="1" x14ac:dyDescent="0.35">
      <c r="A25" s="15"/>
      <c r="C25" t="s">
        <v>412</v>
      </c>
      <c r="E25" s="267"/>
      <c r="F25" s="91"/>
      <c r="H25" s="558">
        <v>0</v>
      </c>
      <c r="I25" s="558">
        <v>0</v>
      </c>
      <c r="J25" s="558">
        <v>0</v>
      </c>
      <c r="K25" s="570"/>
      <c r="L25" s="558">
        <v>0</v>
      </c>
      <c r="M25" s="558"/>
      <c r="N25" s="558">
        <v>0</v>
      </c>
      <c r="O25" s="17"/>
      <c r="P25" s="557">
        <f t="shared" si="1"/>
        <v>0</v>
      </c>
      <c r="Q25" s="17"/>
      <c r="R25" s="17"/>
      <c r="S25" s="615"/>
      <c r="T25" s="615"/>
      <c r="U25" s="615"/>
      <c r="V25" s="615"/>
    </row>
    <row r="26" spans="1:22" ht="15.75" customHeight="1" x14ac:dyDescent="0.35">
      <c r="A26" s="15"/>
      <c r="C26" t="s">
        <v>413</v>
      </c>
      <c r="E26" s="267"/>
      <c r="F26" s="91"/>
      <c r="H26" s="558">
        <v>0</v>
      </c>
      <c r="I26" s="558">
        <v>0</v>
      </c>
      <c r="J26" s="558">
        <v>0</v>
      </c>
      <c r="K26" s="570"/>
      <c r="L26" s="558">
        <v>0</v>
      </c>
      <c r="M26" s="558"/>
      <c r="N26" s="558">
        <v>0</v>
      </c>
      <c r="O26" s="17"/>
      <c r="P26" s="557">
        <f t="shared" si="1"/>
        <v>0</v>
      </c>
      <c r="Q26" s="17"/>
      <c r="R26" s="17"/>
      <c r="S26" s="615"/>
      <c r="T26" s="615"/>
      <c r="U26" s="615"/>
      <c r="V26" s="615"/>
    </row>
    <row r="27" spans="1:22" ht="15.75" customHeight="1" x14ac:dyDescent="0.35">
      <c r="A27" s="15"/>
      <c r="C27" t="s">
        <v>414</v>
      </c>
      <c r="E27" s="267"/>
      <c r="F27" s="91"/>
      <c r="H27" s="558">
        <v>0</v>
      </c>
      <c r="I27" s="558">
        <v>0</v>
      </c>
      <c r="J27" s="558">
        <v>0</v>
      </c>
      <c r="K27" s="570"/>
      <c r="L27" s="558">
        <v>0</v>
      </c>
      <c r="M27" s="558"/>
      <c r="N27" s="558">
        <v>0</v>
      </c>
      <c r="O27" s="17"/>
      <c r="P27" s="557">
        <f t="shared" si="1"/>
        <v>0</v>
      </c>
      <c r="Q27" s="17"/>
      <c r="R27" s="17"/>
      <c r="S27" s="615"/>
      <c r="T27" s="615"/>
      <c r="U27" s="615"/>
      <c r="V27" s="615"/>
    </row>
    <row r="28" spans="1:22" ht="15.75" customHeight="1" x14ac:dyDescent="0.35">
      <c r="A28" s="15"/>
      <c r="C28" t="s">
        <v>415</v>
      </c>
      <c r="E28" s="267"/>
      <c r="F28" s="91"/>
      <c r="H28" s="558">
        <v>0</v>
      </c>
      <c r="I28" s="558">
        <v>0</v>
      </c>
      <c r="J28" s="558">
        <v>0</v>
      </c>
      <c r="K28" s="570"/>
      <c r="L28" s="558">
        <v>0</v>
      </c>
      <c r="M28" s="558"/>
      <c r="N28" s="558">
        <v>0</v>
      </c>
      <c r="O28" s="17"/>
      <c r="P28" s="557">
        <f t="shared" si="1"/>
        <v>0</v>
      </c>
      <c r="Q28" s="17"/>
      <c r="R28" s="17"/>
      <c r="S28" s="555"/>
      <c r="T28" s="555"/>
      <c r="U28" s="555"/>
      <c r="V28" s="555"/>
    </row>
    <row r="29" spans="1:22" ht="15" customHeight="1" x14ac:dyDescent="0.35">
      <c r="A29" s="15"/>
      <c r="C29" t="s">
        <v>416</v>
      </c>
      <c r="E29" s="267"/>
      <c r="F29" s="91"/>
      <c r="H29" s="558">
        <v>0</v>
      </c>
      <c r="I29" s="558">
        <v>0</v>
      </c>
      <c r="J29" s="558">
        <v>0</v>
      </c>
      <c r="K29" s="570"/>
      <c r="L29" s="558">
        <v>0</v>
      </c>
      <c r="M29" s="558"/>
      <c r="N29" s="558">
        <v>0</v>
      </c>
      <c r="O29" s="17"/>
      <c r="P29" s="557">
        <f t="shared" si="1"/>
        <v>0</v>
      </c>
      <c r="Q29" s="17"/>
      <c r="R29" s="17"/>
      <c r="S29" s="555"/>
      <c r="T29" s="555"/>
      <c r="U29" s="555"/>
      <c r="V29" s="555"/>
    </row>
    <row r="30" spans="1:22" x14ac:dyDescent="0.35">
      <c r="A30" s="20"/>
      <c r="B30" s="21"/>
      <c r="C30" s="22" t="s">
        <v>369</v>
      </c>
      <c r="D30" s="21"/>
      <c r="E30" s="20"/>
      <c r="F30" s="95"/>
      <c r="G30" s="21"/>
      <c r="H30" s="23">
        <f>SUM(H22:H29)</f>
        <v>0</v>
      </c>
      <c r="I30" s="23"/>
      <c r="J30" s="23">
        <f>SUM(J22:J29)</f>
        <v>0</v>
      </c>
      <c r="K30" s="23"/>
      <c r="L30" s="535">
        <f>SUM(L22:L29)</f>
        <v>0</v>
      </c>
      <c r="M30" s="535"/>
      <c r="N30" s="535">
        <f>SUM(N22:N29)</f>
        <v>0</v>
      </c>
      <c r="O30" s="23"/>
      <c r="P30" s="24">
        <f>SUM(P22:P29)</f>
        <v>0</v>
      </c>
      <c r="Q30" s="17"/>
      <c r="R30" s="17"/>
      <c r="S30" s="17"/>
    </row>
    <row r="31" spans="1:22" s="530" customFormat="1" ht="13" thickBot="1" x14ac:dyDescent="0.3">
      <c r="A31" s="559"/>
      <c r="L31" s="560"/>
      <c r="M31" s="560"/>
      <c r="N31" s="560"/>
      <c r="P31" s="561"/>
    </row>
    <row r="32" spans="1:22" x14ac:dyDescent="0.35">
      <c r="A32" s="13" t="s">
        <v>417</v>
      </c>
      <c r="B32" s="14"/>
      <c r="C32" s="14"/>
      <c r="D32" s="14"/>
      <c r="E32" s="266"/>
      <c r="F32" s="90"/>
      <c r="G32" s="14"/>
      <c r="H32" s="29"/>
      <c r="I32" s="29"/>
      <c r="J32" s="29"/>
      <c r="K32" s="29"/>
      <c r="L32" s="536"/>
      <c r="M32" s="536"/>
      <c r="N32" s="536"/>
      <c r="O32" s="29"/>
      <c r="P32" s="30"/>
      <c r="Q32" s="17"/>
      <c r="R32" s="17"/>
      <c r="S32" s="17"/>
    </row>
    <row r="33" spans="1:22" ht="15" thickBot="1" x14ac:dyDescent="0.4">
      <c r="A33" s="15"/>
      <c r="B33" s="4" t="s">
        <v>418</v>
      </c>
      <c r="E33" s="267"/>
      <c r="F33" s="91"/>
      <c r="H33" s="17"/>
      <c r="I33" s="17"/>
      <c r="J33" s="17"/>
      <c r="K33" s="17"/>
      <c r="L33" s="537"/>
      <c r="M33" s="537"/>
      <c r="N33" s="537"/>
      <c r="O33" s="17"/>
      <c r="P33" s="18"/>
      <c r="Q33" s="17"/>
      <c r="R33" s="17"/>
      <c r="S33" s="17"/>
    </row>
    <row r="34" spans="1:22" x14ac:dyDescent="0.35">
      <c r="A34" s="15"/>
      <c r="C34" t="s">
        <v>23</v>
      </c>
      <c r="E34" s="525"/>
      <c r="F34" s="92"/>
      <c r="H34" s="566">
        <v>0</v>
      </c>
      <c r="I34" s="566">
        <v>0</v>
      </c>
      <c r="J34" s="566">
        <v>0</v>
      </c>
      <c r="K34" s="571"/>
      <c r="L34" s="566">
        <v>0</v>
      </c>
      <c r="M34" s="566"/>
      <c r="N34" s="566">
        <v>0</v>
      </c>
      <c r="O34" s="17"/>
      <c r="P34" s="557">
        <f>L34+N34</f>
        <v>0</v>
      </c>
      <c r="Q34" s="17"/>
      <c r="R34" s="17"/>
      <c r="S34" s="17"/>
    </row>
    <row r="35" spans="1:22" x14ac:dyDescent="0.35">
      <c r="A35" s="15"/>
      <c r="C35" t="s">
        <v>419</v>
      </c>
      <c r="E35" s="526"/>
      <c r="F35" s="93"/>
      <c r="H35" s="566">
        <v>0</v>
      </c>
      <c r="I35" s="566">
        <v>0</v>
      </c>
      <c r="J35" s="566">
        <v>0</v>
      </c>
      <c r="K35" s="571"/>
      <c r="L35" s="566">
        <v>0</v>
      </c>
      <c r="M35" s="566"/>
      <c r="N35" s="566">
        <v>0</v>
      </c>
      <c r="O35" s="17"/>
      <c r="P35" s="557">
        <f t="shared" ref="P35:P36" si="2">L35+N35</f>
        <v>0</v>
      </c>
      <c r="Q35" s="17"/>
      <c r="R35" s="17"/>
      <c r="S35" s="17"/>
    </row>
    <row r="36" spans="1:22" x14ac:dyDescent="0.35">
      <c r="A36" s="15"/>
      <c r="C36" t="s">
        <v>69</v>
      </c>
      <c r="E36" s="526"/>
      <c r="F36" s="93"/>
      <c r="H36" s="566">
        <v>0</v>
      </c>
      <c r="I36" s="566">
        <v>0</v>
      </c>
      <c r="J36" s="566">
        <v>0</v>
      </c>
      <c r="K36" s="571"/>
      <c r="L36" s="566">
        <v>0</v>
      </c>
      <c r="M36" s="566"/>
      <c r="N36" s="566">
        <v>0</v>
      </c>
      <c r="O36" s="17"/>
      <c r="P36" s="557">
        <f t="shared" si="2"/>
        <v>0</v>
      </c>
      <c r="Q36" s="17"/>
      <c r="R36" s="17"/>
      <c r="S36" s="17"/>
    </row>
    <row r="37" spans="1:22" x14ac:dyDescent="0.35">
      <c r="A37" s="20"/>
      <c r="B37" s="21"/>
      <c r="C37" s="22" t="s">
        <v>420</v>
      </c>
      <c r="D37" s="21"/>
      <c r="E37" s="20"/>
      <c r="F37" s="95"/>
      <c r="G37" s="21"/>
      <c r="H37" s="23">
        <f>SUM(H34:H36)</f>
        <v>0</v>
      </c>
      <c r="I37" s="23"/>
      <c r="J37" s="23">
        <f>SUM(J34:J36)</f>
        <v>0</v>
      </c>
      <c r="K37" s="23"/>
      <c r="L37" s="535">
        <f>SUM(L34:L36)</f>
        <v>0</v>
      </c>
      <c r="M37" s="535"/>
      <c r="N37" s="535">
        <f>SUM(N34:N36)</f>
        <v>0</v>
      </c>
      <c r="O37" s="23">
        <f>SUM(O34:O36)</f>
        <v>0</v>
      </c>
      <c r="P37" s="24">
        <f>SUM(P34:P36)</f>
        <v>0</v>
      </c>
      <c r="Q37" s="17"/>
      <c r="R37" s="17"/>
      <c r="S37" s="17"/>
    </row>
    <row r="38" spans="1:22" ht="15" thickBot="1" x14ac:dyDescent="0.4">
      <c r="A38" s="15"/>
      <c r="C38" s="5"/>
      <c r="H38" s="17"/>
      <c r="I38" s="17"/>
      <c r="J38" s="17"/>
      <c r="K38" s="17"/>
      <c r="L38" s="537"/>
      <c r="M38" s="537"/>
      <c r="N38" s="537"/>
      <c r="O38" s="17"/>
      <c r="P38" s="524"/>
      <c r="Q38" s="17"/>
      <c r="R38" s="17"/>
      <c r="S38" s="17"/>
    </row>
    <row r="39" spans="1:22" ht="15" thickBot="1" x14ac:dyDescent="0.4">
      <c r="A39" s="36" t="s">
        <v>421</v>
      </c>
      <c r="B39" s="37"/>
      <c r="C39" s="37"/>
      <c r="D39" s="37"/>
      <c r="E39" s="37"/>
      <c r="F39" s="87"/>
      <c r="G39" s="87"/>
      <c r="H39" s="87"/>
      <c r="I39" s="87"/>
      <c r="J39" s="87"/>
      <c r="K39" s="87"/>
      <c r="L39" s="538"/>
      <c r="M39" s="538"/>
      <c r="N39" s="538"/>
      <c r="O39" s="87"/>
      <c r="P39" s="567"/>
      <c r="Q39" s="17"/>
      <c r="R39" s="17"/>
      <c r="S39" s="17"/>
    </row>
    <row r="40" spans="1:22" x14ac:dyDescent="0.35">
      <c r="A40" s="208"/>
      <c r="C40" s="104" t="s">
        <v>422</v>
      </c>
      <c r="E40" s="267"/>
      <c r="F40" s="91"/>
      <c r="H40" s="17"/>
      <c r="I40" s="17"/>
      <c r="J40" s="17"/>
      <c r="K40" s="17"/>
      <c r="L40" s="537"/>
      <c r="M40" s="537"/>
      <c r="N40" s="537"/>
      <c r="O40" s="17"/>
      <c r="P40" s="524"/>
      <c r="Q40" s="17"/>
      <c r="R40" s="17"/>
      <c r="S40" s="17"/>
    </row>
    <row r="41" spans="1:22" ht="15" customHeight="1" x14ac:dyDescent="0.35">
      <c r="A41" s="208"/>
      <c r="C41" s="104"/>
      <c r="E41" s="267"/>
      <c r="F41" s="91"/>
      <c r="H41" s="19">
        <v>0</v>
      </c>
      <c r="I41" s="566">
        <v>0</v>
      </c>
      <c r="J41" s="19">
        <v>0</v>
      </c>
      <c r="K41" s="35"/>
      <c r="L41" s="558">
        <v>0</v>
      </c>
      <c r="M41" s="558"/>
      <c r="N41" s="558">
        <v>0</v>
      </c>
      <c r="O41" s="17"/>
      <c r="P41" s="557">
        <f>SUM(L41:N41)</f>
        <v>0</v>
      </c>
      <c r="Q41" s="17"/>
      <c r="R41" s="17"/>
      <c r="S41" s="614"/>
      <c r="T41" s="614"/>
      <c r="U41" s="614"/>
      <c r="V41" s="614"/>
    </row>
    <row r="42" spans="1:22" x14ac:dyDescent="0.35">
      <c r="A42" s="208"/>
      <c r="C42" s="104"/>
      <c r="E42" s="267"/>
      <c r="F42" s="91"/>
      <c r="H42" s="19">
        <v>0</v>
      </c>
      <c r="I42" s="566">
        <v>0</v>
      </c>
      <c r="J42" s="19">
        <v>0</v>
      </c>
      <c r="K42" s="35"/>
      <c r="L42" s="558">
        <v>0</v>
      </c>
      <c r="M42" s="558"/>
      <c r="N42" s="558">
        <v>0</v>
      </c>
      <c r="O42" s="17"/>
      <c r="P42" s="557">
        <f t="shared" ref="P42:P45" si="3">SUM(L42:N42)</f>
        <v>0</v>
      </c>
      <c r="Q42" s="17"/>
      <c r="R42" s="17"/>
      <c r="S42" s="614"/>
      <c r="T42" s="614"/>
      <c r="U42" s="614"/>
      <c r="V42" s="614"/>
    </row>
    <row r="43" spans="1:22" x14ac:dyDescent="0.35">
      <c r="A43" s="208"/>
      <c r="C43" s="104"/>
      <c r="E43" s="267"/>
      <c r="F43" s="91"/>
      <c r="H43" s="19">
        <v>0</v>
      </c>
      <c r="I43" s="566">
        <v>0</v>
      </c>
      <c r="J43" s="19">
        <v>0</v>
      </c>
      <c r="K43" s="35"/>
      <c r="L43" s="558">
        <v>0</v>
      </c>
      <c r="M43" s="558"/>
      <c r="N43" s="558">
        <v>0</v>
      </c>
      <c r="O43" s="17"/>
      <c r="P43" s="557">
        <f t="shared" si="3"/>
        <v>0</v>
      </c>
      <c r="Q43" s="17"/>
      <c r="R43" s="17"/>
      <c r="S43" s="614"/>
      <c r="T43" s="614"/>
      <c r="U43" s="614"/>
      <c r="V43" s="614"/>
    </row>
    <row r="44" spans="1:22" x14ac:dyDescent="0.35">
      <c r="A44" s="208"/>
      <c r="C44" s="104"/>
      <c r="E44" s="267"/>
      <c r="F44" s="91"/>
      <c r="H44" s="19">
        <v>0</v>
      </c>
      <c r="I44" s="566">
        <v>0</v>
      </c>
      <c r="J44" s="19">
        <v>0</v>
      </c>
      <c r="K44" s="35"/>
      <c r="L44" s="558">
        <v>0</v>
      </c>
      <c r="M44" s="558"/>
      <c r="N44" s="558">
        <v>0</v>
      </c>
      <c r="O44" s="17"/>
      <c r="P44" s="557">
        <f t="shared" si="3"/>
        <v>0</v>
      </c>
      <c r="Q44" s="17"/>
      <c r="R44" s="17"/>
      <c r="S44" s="614"/>
      <c r="T44" s="614"/>
      <c r="U44" s="614"/>
      <c r="V44" s="614"/>
    </row>
    <row r="45" spans="1:22" x14ac:dyDescent="0.35">
      <c r="A45" s="208"/>
      <c r="C45" s="104"/>
      <c r="E45" s="267"/>
      <c r="F45" s="91"/>
      <c r="H45" s="19">
        <v>0</v>
      </c>
      <c r="I45" s="566">
        <v>0</v>
      </c>
      <c r="J45" s="19">
        <v>0</v>
      </c>
      <c r="K45" s="35"/>
      <c r="L45" s="558">
        <v>0</v>
      </c>
      <c r="M45" s="558"/>
      <c r="N45" s="558">
        <v>0</v>
      </c>
      <c r="O45" s="17"/>
      <c r="P45" s="557">
        <f t="shared" si="3"/>
        <v>0</v>
      </c>
      <c r="Q45" s="17"/>
      <c r="R45" s="17"/>
      <c r="S45" s="614"/>
      <c r="T45" s="614"/>
      <c r="U45" s="614"/>
      <c r="V45" s="614"/>
    </row>
    <row r="46" spans="1:22" ht="15" thickBot="1" x14ac:dyDescent="0.4">
      <c r="A46" s="20"/>
      <c r="B46" s="21"/>
      <c r="C46" s="22" t="s">
        <v>423</v>
      </c>
      <c r="D46" s="21"/>
      <c r="E46" s="20"/>
      <c r="F46" s="95"/>
      <c r="G46" s="21"/>
      <c r="H46" s="23">
        <f>SUM(H41:H45)</f>
        <v>0</v>
      </c>
      <c r="I46" s="23"/>
      <c r="J46" s="23">
        <f>SUM(J41:J45)</f>
        <v>0</v>
      </c>
      <c r="K46" s="23"/>
      <c r="L46" s="535">
        <v>0</v>
      </c>
      <c r="M46" s="535"/>
      <c r="N46" s="535">
        <v>0</v>
      </c>
      <c r="O46" s="23">
        <f>SUM(O41:O45)</f>
        <v>0</v>
      </c>
      <c r="P46" s="24">
        <f>SUM(P41:P45)</f>
        <v>0</v>
      </c>
      <c r="Q46" s="17"/>
      <c r="R46" s="17"/>
      <c r="S46" s="614"/>
      <c r="T46" s="614"/>
      <c r="U46" s="614"/>
      <c r="V46" s="614"/>
    </row>
    <row r="47" spans="1:22" ht="15" thickBot="1" x14ac:dyDescent="0.4">
      <c r="A47" s="36" t="s">
        <v>424</v>
      </c>
      <c r="B47" s="41"/>
      <c r="C47" s="41"/>
      <c r="D47" s="41"/>
      <c r="E47" s="36"/>
      <c r="F47" s="98"/>
      <c r="G47" s="41"/>
      <c r="H47" s="42">
        <f>H46+H37+H30+H19</f>
        <v>0</v>
      </c>
      <c r="I47" s="42">
        <f>I46+I37+I30+I19</f>
        <v>0</v>
      </c>
      <c r="J47" s="42">
        <f>J46+J37+J30+J19</f>
        <v>0</v>
      </c>
      <c r="K47" s="42"/>
      <c r="L47" s="539">
        <f>L46+L37+L30+L19</f>
        <v>0</v>
      </c>
      <c r="M47" s="539"/>
      <c r="N47" s="539">
        <f>N46+N37+N30+N19</f>
        <v>0</v>
      </c>
      <c r="O47" s="42">
        <f>O46+O37+O30+O19</f>
        <v>0</v>
      </c>
      <c r="P47" s="43">
        <f>P46+P37+P30+P19</f>
        <v>0</v>
      </c>
      <c r="Q47" s="17"/>
      <c r="R47" s="17"/>
      <c r="S47" s="556"/>
      <c r="T47" s="556"/>
      <c r="U47" s="556"/>
      <c r="V47" s="556"/>
    </row>
    <row r="48" spans="1:22" ht="6.75" customHeight="1" x14ac:dyDescent="0.35">
      <c r="H48" s="17"/>
      <c r="I48" s="17"/>
      <c r="J48" s="17"/>
      <c r="K48" s="17"/>
      <c r="L48" s="17"/>
      <c r="M48" s="17"/>
      <c r="N48" s="17"/>
      <c r="O48" s="17"/>
      <c r="P48" s="537"/>
      <c r="Q48" s="17"/>
      <c r="R48" s="17"/>
      <c r="S48" s="17"/>
    </row>
    <row r="49" spans="3:26" x14ac:dyDescent="0.35">
      <c r="C49" s="579" t="s">
        <v>390</v>
      </c>
      <c r="D49" s="568"/>
      <c r="E49" s="568"/>
      <c r="F49" s="569"/>
      <c r="G49" s="568"/>
      <c r="H49" s="572" t="s">
        <v>356</v>
      </c>
      <c r="I49" s="573" t="s">
        <v>69</v>
      </c>
      <c r="J49" s="574" t="s">
        <v>425</v>
      </c>
      <c r="K49" s="573"/>
      <c r="L49" s="574" t="s">
        <v>355</v>
      </c>
      <c r="M49" s="574"/>
      <c r="N49" s="575" t="s">
        <v>426</v>
      </c>
      <c r="O49" s="17"/>
      <c r="P49" s="537"/>
      <c r="Q49" s="44"/>
      <c r="T49" s="5"/>
      <c r="V49" s="537"/>
      <c r="W49" s="537"/>
      <c r="X49" s="537"/>
      <c r="Y49" s="17"/>
      <c r="Z49" s="17"/>
    </row>
    <row r="50" spans="3:26" ht="14.25" customHeight="1" x14ac:dyDescent="0.35">
      <c r="C50" s="578" t="s">
        <v>427</v>
      </c>
      <c r="H50" s="576" t="e">
        <f>H19/H47</f>
        <v>#DIV/0!</v>
      </c>
      <c r="I50" s="576" t="e">
        <f>I19/I47</f>
        <v>#DIV/0!</v>
      </c>
      <c r="J50" s="576" t="e">
        <f>J19/J47</f>
        <v>#DIV/0!</v>
      </c>
      <c r="K50" s="576"/>
      <c r="L50" s="576" t="e">
        <f>L19/L47</f>
        <v>#DIV/0!</v>
      </c>
      <c r="M50" s="576"/>
      <c r="N50" s="577" t="e">
        <f>N19/N47</f>
        <v>#DIV/0!</v>
      </c>
      <c r="O50" s="17"/>
      <c r="P50" s="540"/>
      <c r="T50" s="5"/>
      <c r="V50" s="540"/>
      <c r="W50" s="540"/>
      <c r="X50" s="540"/>
      <c r="Y50" s="17"/>
      <c r="Z50" s="45"/>
    </row>
    <row r="51" spans="3:26" x14ac:dyDescent="0.35">
      <c r="C51" s="578" t="s">
        <v>428</v>
      </c>
      <c r="H51" s="576" t="e">
        <f>H30/H47</f>
        <v>#DIV/0!</v>
      </c>
      <c r="I51" s="576" t="e">
        <f>I30/I47</f>
        <v>#DIV/0!</v>
      </c>
      <c r="J51" s="576" t="e">
        <f>J30/J47</f>
        <v>#DIV/0!</v>
      </c>
      <c r="K51" s="576"/>
      <c r="L51" s="576" t="e">
        <f>L30/L47</f>
        <v>#DIV/0!</v>
      </c>
      <c r="M51" s="576"/>
      <c r="N51" s="577" t="e">
        <f>N30/N47</f>
        <v>#DIV/0!</v>
      </c>
      <c r="O51" s="17"/>
      <c r="P51" s="541"/>
      <c r="T51" s="5"/>
      <c r="V51" s="541"/>
      <c r="W51" s="541"/>
      <c r="X51" s="541"/>
      <c r="Y51" s="17"/>
      <c r="Z51" s="45"/>
    </row>
    <row r="52" spans="3:26" x14ac:dyDescent="0.35">
      <c r="C52" s="578" t="s">
        <v>429</v>
      </c>
      <c r="H52" s="576" t="e">
        <f>H37/H47</f>
        <v>#DIV/0!</v>
      </c>
      <c r="I52" s="576" t="e">
        <f t="shared" ref="I52:N52" si="4">I37/I47</f>
        <v>#DIV/0!</v>
      </c>
      <c r="J52" s="576" t="e">
        <f t="shared" si="4"/>
        <v>#DIV/0!</v>
      </c>
      <c r="K52" s="576"/>
      <c r="L52" s="576" t="e">
        <f t="shared" si="4"/>
        <v>#DIV/0!</v>
      </c>
      <c r="M52" s="576"/>
      <c r="N52" s="577" t="e">
        <f t="shared" si="4"/>
        <v>#DIV/0!</v>
      </c>
      <c r="O52" s="17"/>
      <c r="P52" s="540"/>
      <c r="T52" s="5"/>
      <c r="V52" s="540"/>
      <c r="W52" s="540"/>
      <c r="X52" s="540"/>
      <c r="Y52" s="17"/>
      <c r="Z52" s="45"/>
    </row>
    <row r="53" spans="3:26" x14ac:dyDescent="0.35">
      <c r="C53" s="578" t="s">
        <v>430</v>
      </c>
      <c r="H53" s="576" t="e">
        <f>H46/H47</f>
        <v>#DIV/0!</v>
      </c>
      <c r="I53" s="576" t="e">
        <f t="shared" ref="I53:N53" si="5">I46/I47</f>
        <v>#DIV/0!</v>
      </c>
      <c r="J53" s="576" t="e">
        <f t="shared" si="5"/>
        <v>#DIV/0!</v>
      </c>
      <c r="K53" s="576"/>
      <c r="L53" s="576" t="e">
        <f t="shared" si="5"/>
        <v>#DIV/0!</v>
      </c>
      <c r="M53" s="576"/>
      <c r="N53" s="577" t="e">
        <f t="shared" si="5"/>
        <v>#DIV/0!</v>
      </c>
      <c r="O53" s="17"/>
      <c r="P53" s="540"/>
      <c r="T53" s="5"/>
      <c r="V53" s="540"/>
      <c r="W53" s="540"/>
      <c r="X53" s="540"/>
      <c r="Y53" s="17"/>
      <c r="Z53" s="45"/>
    </row>
    <row r="54" spans="3:26" x14ac:dyDescent="0.35">
      <c r="C54" s="578"/>
      <c r="H54" s="576"/>
      <c r="I54" s="576"/>
      <c r="J54" s="576"/>
      <c r="K54" s="576"/>
      <c r="L54" s="576"/>
      <c r="M54" s="576"/>
      <c r="N54" s="577"/>
      <c r="O54" s="17"/>
      <c r="P54" s="540"/>
      <c r="T54" s="5"/>
      <c r="V54" s="540"/>
      <c r="W54" s="540"/>
      <c r="X54" s="540"/>
      <c r="Y54" s="17"/>
      <c r="Z54" s="45"/>
    </row>
    <row r="55" spans="3:26" x14ac:dyDescent="0.35">
      <c r="C55" s="580" t="s">
        <v>431</v>
      </c>
      <c r="D55" s="151"/>
      <c r="E55" s="151"/>
      <c r="F55" s="180"/>
      <c r="G55" s="151"/>
      <c r="H55" s="581" t="e">
        <f>SUM(H50:H53)</f>
        <v>#DIV/0!</v>
      </c>
      <c r="I55" s="581" t="e">
        <f>SUM(I50:I53)</f>
        <v>#DIV/0!</v>
      </c>
      <c r="J55" s="581" t="e">
        <f>SUM(J50:J53)</f>
        <v>#DIV/0!</v>
      </c>
      <c r="K55" s="581"/>
      <c r="L55" s="581" t="e">
        <f>SUM(L50:L53)</f>
        <v>#DIV/0!</v>
      </c>
      <c r="M55" s="581"/>
      <c r="N55" s="582" t="e">
        <f>SUM(N50:N53)</f>
        <v>#DIV/0!</v>
      </c>
      <c r="O55" s="17"/>
      <c r="P55" s="540"/>
      <c r="Q55" s="178"/>
      <c r="T55" s="5"/>
      <c r="V55" s="540"/>
      <c r="W55" s="540"/>
      <c r="X55" s="540"/>
      <c r="Y55" s="17"/>
      <c r="Z55" s="45"/>
    </row>
    <row r="56" spans="3:26" x14ac:dyDescent="0.35">
      <c r="H56" s="17"/>
      <c r="I56" s="17"/>
      <c r="J56" s="17"/>
      <c r="K56" s="17"/>
      <c r="L56" s="17"/>
      <c r="M56" s="17"/>
      <c r="N56" s="17"/>
      <c r="O56" s="17"/>
      <c r="P56" s="537"/>
      <c r="T56" s="5"/>
      <c r="V56" s="537"/>
      <c r="W56" s="537"/>
      <c r="X56" s="537"/>
      <c r="Y56" s="17"/>
      <c r="Z56" s="17"/>
    </row>
    <row r="57" spans="3:26" x14ac:dyDescent="0.35">
      <c r="H57" s="17"/>
      <c r="I57" s="17"/>
      <c r="J57" s="17"/>
      <c r="K57" s="17"/>
      <c r="L57" s="17"/>
      <c r="M57" s="17"/>
      <c r="N57" s="17"/>
      <c r="O57" s="17"/>
      <c r="P57" s="537"/>
      <c r="Q57" s="17"/>
      <c r="R57" s="17"/>
      <c r="S57" s="17"/>
    </row>
    <row r="58" spans="3:26" x14ac:dyDescent="0.35">
      <c r="H58" s="17"/>
      <c r="I58" s="17"/>
      <c r="J58" s="17"/>
      <c r="K58" s="17"/>
      <c r="L58" s="17"/>
      <c r="M58" s="17"/>
      <c r="N58" s="17"/>
      <c r="O58" s="17"/>
      <c r="P58" s="537"/>
      <c r="Q58" s="17"/>
      <c r="R58" s="17"/>
      <c r="S58" s="17"/>
    </row>
    <row r="59" spans="3:26" x14ac:dyDescent="0.35">
      <c r="H59" s="17"/>
      <c r="I59" s="17"/>
      <c r="J59" s="17"/>
      <c r="K59" s="17"/>
      <c r="L59" s="17"/>
      <c r="M59" s="17"/>
      <c r="N59" s="17"/>
      <c r="O59" s="17"/>
      <c r="P59" s="537"/>
      <c r="Q59" s="17"/>
      <c r="R59" s="17"/>
      <c r="S59" s="17"/>
    </row>
    <row r="60" spans="3:26" x14ac:dyDescent="0.35">
      <c r="H60" s="17"/>
      <c r="I60" s="17"/>
      <c r="J60" s="17"/>
      <c r="K60" s="17"/>
      <c r="L60" s="17"/>
      <c r="M60" s="17"/>
      <c r="N60" s="17"/>
      <c r="O60" s="17"/>
      <c r="P60" s="537"/>
      <c r="Q60" s="17"/>
      <c r="R60" s="17"/>
      <c r="S60" s="17"/>
    </row>
    <row r="61" spans="3:26" x14ac:dyDescent="0.35">
      <c r="H61" s="17"/>
      <c r="I61" s="17"/>
      <c r="J61" s="17"/>
      <c r="K61" s="17"/>
      <c r="L61" s="17"/>
      <c r="M61" s="17"/>
      <c r="N61" s="17"/>
      <c r="O61" s="17"/>
      <c r="P61" s="537"/>
      <c r="Q61" s="17"/>
      <c r="R61" s="17"/>
      <c r="S61" s="17"/>
    </row>
    <row r="62" spans="3:26" x14ac:dyDescent="0.35">
      <c r="H62" s="17"/>
      <c r="I62" s="17"/>
      <c r="J62" s="17"/>
      <c r="K62" s="17"/>
      <c r="L62" s="17"/>
      <c r="M62" s="17"/>
      <c r="N62" s="17"/>
      <c r="O62" s="17"/>
      <c r="P62" s="537"/>
      <c r="Q62" s="17"/>
      <c r="R62" s="17"/>
      <c r="S62" s="17"/>
    </row>
    <row r="63" spans="3:26" x14ac:dyDescent="0.35">
      <c r="H63" s="17"/>
      <c r="I63" s="17"/>
      <c r="J63" s="17"/>
      <c r="K63" s="17"/>
      <c r="L63" s="17"/>
      <c r="M63" s="17"/>
      <c r="N63" s="17"/>
      <c r="O63" s="17"/>
      <c r="P63" s="537"/>
      <c r="Q63" s="17"/>
      <c r="R63" s="17"/>
      <c r="S63" s="17"/>
    </row>
    <row r="64" spans="3:26" x14ac:dyDescent="0.35">
      <c r="H64" s="17"/>
      <c r="I64" s="17"/>
      <c r="J64" s="17"/>
      <c r="K64" s="17"/>
      <c r="L64" s="17"/>
      <c r="M64" s="17"/>
      <c r="N64" s="17"/>
      <c r="O64" s="17"/>
      <c r="P64" s="537"/>
      <c r="Q64" s="17"/>
      <c r="R64" s="17"/>
      <c r="S64" s="17"/>
    </row>
    <row r="65" spans="8:19" x14ac:dyDescent="0.35">
      <c r="H65" s="17"/>
      <c r="I65" s="17"/>
      <c r="J65" s="17"/>
      <c r="K65" s="17"/>
      <c r="L65" s="17"/>
      <c r="M65" s="17"/>
      <c r="N65" s="17"/>
      <c r="O65" s="17"/>
      <c r="P65" s="537"/>
      <c r="Q65" s="17"/>
      <c r="R65" s="17"/>
      <c r="S65" s="17"/>
    </row>
    <row r="66" spans="8:19" x14ac:dyDescent="0.35">
      <c r="H66" s="17"/>
      <c r="I66" s="17"/>
      <c r="J66" s="17"/>
      <c r="K66" s="17"/>
      <c r="L66" s="17"/>
      <c r="M66" s="17"/>
      <c r="N66" s="17"/>
      <c r="O66" s="17"/>
      <c r="P66" s="537"/>
      <c r="Q66" s="17"/>
      <c r="R66" s="17"/>
      <c r="S66" s="17"/>
    </row>
    <row r="67" spans="8:19" x14ac:dyDescent="0.35">
      <c r="H67" s="17"/>
      <c r="I67" s="17"/>
      <c r="J67" s="17"/>
      <c r="K67" s="17"/>
      <c r="L67" s="17"/>
      <c r="M67" s="17"/>
      <c r="N67" s="17"/>
      <c r="O67" s="17"/>
      <c r="P67" s="537"/>
      <c r="Q67" s="17"/>
      <c r="R67" s="17"/>
      <c r="S67" s="17"/>
    </row>
    <row r="68" spans="8:19" x14ac:dyDescent="0.35">
      <c r="H68" s="17"/>
      <c r="I68" s="17"/>
      <c r="J68" s="17"/>
      <c r="K68" s="17"/>
      <c r="L68" s="17"/>
      <c r="M68" s="17"/>
      <c r="N68" s="17"/>
      <c r="O68" s="17"/>
      <c r="P68" s="537"/>
      <c r="Q68" s="17"/>
      <c r="R68" s="17"/>
      <c r="S68" s="17"/>
    </row>
    <row r="69" spans="8:19" x14ac:dyDescent="0.35">
      <c r="H69" s="17"/>
      <c r="I69" s="17"/>
      <c r="J69" s="17"/>
      <c r="K69" s="17"/>
      <c r="L69" s="17"/>
      <c r="M69" s="17"/>
      <c r="N69" s="17"/>
      <c r="O69" s="17"/>
      <c r="P69" s="537"/>
      <c r="Q69" s="17"/>
      <c r="R69" s="17"/>
      <c r="S69" s="17"/>
    </row>
    <row r="70" spans="8:19" x14ac:dyDescent="0.35">
      <c r="H70" s="17"/>
      <c r="I70" s="17"/>
      <c r="J70" s="17"/>
      <c r="K70" s="17"/>
      <c r="L70" s="17"/>
      <c r="M70" s="17"/>
      <c r="N70" s="17"/>
      <c r="O70" s="17"/>
      <c r="P70" s="537"/>
      <c r="Q70" s="17"/>
      <c r="R70" s="17"/>
      <c r="S70" s="17"/>
    </row>
    <row r="71" spans="8:19" x14ac:dyDescent="0.35">
      <c r="H71" s="17"/>
      <c r="I71" s="17"/>
      <c r="J71" s="17"/>
      <c r="K71" s="17"/>
      <c r="L71" s="17"/>
      <c r="M71" s="17"/>
      <c r="N71" s="17"/>
      <c r="O71" s="17"/>
      <c r="P71" s="537"/>
      <c r="Q71" s="17"/>
      <c r="R71" s="17"/>
      <c r="S71" s="17"/>
    </row>
    <row r="72" spans="8:19" x14ac:dyDescent="0.35">
      <c r="H72" s="17"/>
      <c r="I72" s="17"/>
      <c r="J72" s="17"/>
      <c r="K72" s="17"/>
      <c r="L72" s="17"/>
      <c r="M72" s="17"/>
      <c r="N72" s="17"/>
      <c r="O72" s="17"/>
      <c r="P72" s="537"/>
      <c r="Q72" s="17"/>
      <c r="R72" s="17"/>
      <c r="S72" s="17"/>
    </row>
    <row r="73" spans="8:19" x14ac:dyDescent="0.35">
      <c r="H73" s="17"/>
      <c r="I73" s="17"/>
      <c r="J73" s="17"/>
      <c r="K73" s="17"/>
      <c r="L73" s="17"/>
      <c r="M73" s="17"/>
      <c r="N73" s="17"/>
      <c r="O73" s="17"/>
      <c r="P73" s="537"/>
      <c r="Q73" s="17"/>
      <c r="R73" s="17"/>
      <c r="S73" s="17"/>
    </row>
    <row r="74" spans="8:19" x14ac:dyDescent="0.35">
      <c r="H74" s="17"/>
      <c r="I74" s="17"/>
      <c r="J74" s="17"/>
      <c r="K74" s="17"/>
      <c r="L74" s="17"/>
      <c r="M74" s="17"/>
      <c r="N74" s="17"/>
      <c r="O74" s="17"/>
      <c r="P74" s="537"/>
      <c r="Q74" s="17"/>
      <c r="R74" s="17"/>
      <c r="S74" s="17"/>
    </row>
    <row r="75" spans="8:19" x14ac:dyDescent="0.35">
      <c r="H75" s="17"/>
      <c r="I75" s="17"/>
      <c r="J75" s="17"/>
      <c r="K75" s="17"/>
      <c r="L75" s="17"/>
      <c r="M75" s="17"/>
      <c r="N75" s="17"/>
      <c r="O75" s="17"/>
      <c r="P75" s="537"/>
      <c r="Q75" s="17"/>
      <c r="R75" s="17"/>
      <c r="S75" s="17"/>
    </row>
    <row r="76" spans="8:19" x14ac:dyDescent="0.35">
      <c r="H76" s="17"/>
      <c r="I76" s="17"/>
      <c r="J76" s="17"/>
      <c r="K76" s="17"/>
      <c r="L76" s="17"/>
      <c r="M76" s="17"/>
      <c r="N76" s="17"/>
      <c r="O76" s="17"/>
      <c r="P76" s="537"/>
      <c r="Q76" s="17"/>
      <c r="R76" s="17"/>
      <c r="S76" s="17"/>
    </row>
    <row r="77" spans="8:19" x14ac:dyDescent="0.35">
      <c r="H77" s="17"/>
      <c r="I77" s="17"/>
      <c r="J77" s="17"/>
      <c r="K77" s="17"/>
      <c r="L77" s="17"/>
      <c r="M77" s="17"/>
      <c r="N77" s="17"/>
      <c r="O77" s="17"/>
      <c r="P77" s="537"/>
      <c r="Q77" s="17"/>
      <c r="R77" s="17"/>
      <c r="S77" s="17"/>
    </row>
    <row r="78" spans="8:19" x14ac:dyDescent="0.35">
      <c r="H78" s="17"/>
      <c r="I78" s="17"/>
      <c r="J78" s="17"/>
      <c r="K78" s="17"/>
      <c r="L78" s="17"/>
      <c r="M78" s="17"/>
      <c r="N78" s="17"/>
      <c r="O78" s="17"/>
      <c r="P78" s="537"/>
      <c r="Q78" s="17"/>
      <c r="R78" s="17"/>
      <c r="S78" s="17"/>
    </row>
    <row r="79" spans="8:19" x14ac:dyDescent="0.35">
      <c r="H79" s="17"/>
      <c r="I79" s="17"/>
      <c r="J79" s="17"/>
      <c r="K79" s="17"/>
      <c r="L79" s="17"/>
      <c r="M79" s="17"/>
      <c r="N79" s="17"/>
      <c r="O79" s="17"/>
      <c r="P79" s="537"/>
      <c r="Q79" s="17"/>
      <c r="R79" s="17"/>
      <c r="S79" s="17"/>
    </row>
    <row r="80" spans="8:19" x14ac:dyDescent="0.35">
      <c r="H80" s="17"/>
      <c r="I80" s="17"/>
      <c r="J80" s="17"/>
      <c r="K80" s="17"/>
      <c r="L80" s="17"/>
      <c r="M80" s="17"/>
      <c r="N80" s="17"/>
      <c r="O80" s="17"/>
      <c r="P80" s="537"/>
      <c r="Q80" s="17"/>
      <c r="R80" s="17"/>
      <c r="S80" s="17"/>
    </row>
    <row r="81" spans="8:19" x14ac:dyDescent="0.35">
      <c r="H81" s="17"/>
      <c r="I81" s="17"/>
      <c r="J81" s="17"/>
      <c r="K81" s="17"/>
      <c r="L81" s="17"/>
      <c r="M81" s="17"/>
      <c r="N81" s="17"/>
      <c r="O81" s="17"/>
      <c r="P81" s="537"/>
      <c r="Q81" s="17"/>
      <c r="R81" s="17"/>
      <c r="S81" s="17"/>
    </row>
    <row r="82" spans="8:19" x14ac:dyDescent="0.35">
      <c r="H82" s="17"/>
      <c r="I82" s="17"/>
      <c r="J82" s="17"/>
      <c r="K82" s="17"/>
      <c r="L82" s="17"/>
      <c r="M82" s="17"/>
      <c r="N82" s="17"/>
      <c r="O82" s="17"/>
      <c r="P82" s="537"/>
      <c r="Q82" s="17"/>
      <c r="R82" s="17"/>
      <c r="S82" s="17"/>
    </row>
    <row r="83" spans="8:19" x14ac:dyDescent="0.35">
      <c r="H83" s="17"/>
      <c r="I83" s="17"/>
      <c r="J83" s="17"/>
      <c r="K83" s="17"/>
      <c r="L83" s="17"/>
      <c r="M83" s="17"/>
      <c r="N83" s="17"/>
      <c r="O83" s="17"/>
      <c r="P83" s="537"/>
      <c r="Q83" s="17"/>
      <c r="R83" s="17"/>
      <c r="S83" s="17"/>
    </row>
    <row r="84" spans="8:19" x14ac:dyDescent="0.35">
      <c r="H84" s="17"/>
      <c r="I84" s="17"/>
      <c r="J84" s="17"/>
      <c r="K84" s="17"/>
      <c r="L84" s="17"/>
      <c r="M84" s="17"/>
      <c r="N84" s="17"/>
      <c r="O84" s="17"/>
      <c r="P84" s="537"/>
      <c r="Q84" s="17"/>
      <c r="R84" s="17"/>
      <c r="S84" s="17"/>
    </row>
    <row r="85" spans="8:19" x14ac:dyDescent="0.35">
      <c r="H85" s="17"/>
      <c r="I85" s="17"/>
      <c r="J85" s="17"/>
      <c r="K85" s="17"/>
      <c r="L85" s="17"/>
      <c r="M85" s="17"/>
      <c r="N85" s="17"/>
      <c r="O85" s="17"/>
      <c r="P85" s="537"/>
      <c r="Q85" s="17"/>
      <c r="R85" s="17"/>
      <c r="S85" s="17"/>
    </row>
    <row r="86" spans="8:19" x14ac:dyDescent="0.35">
      <c r="H86" s="17"/>
      <c r="I86" s="17"/>
      <c r="J86" s="17"/>
      <c r="K86" s="17"/>
      <c r="L86" s="17"/>
      <c r="M86" s="17"/>
      <c r="N86" s="17"/>
      <c r="O86" s="17"/>
      <c r="P86" s="537"/>
      <c r="Q86" s="17"/>
      <c r="R86" s="17"/>
      <c r="S86" s="17"/>
    </row>
    <row r="87" spans="8:19" x14ac:dyDescent="0.35">
      <c r="H87" s="17"/>
      <c r="I87" s="17"/>
      <c r="J87" s="17"/>
      <c r="K87" s="17"/>
      <c r="L87" s="17"/>
      <c r="M87" s="17"/>
      <c r="N87" s="17"/>
      <c r="O87" s="17"/>
      <c r="P87" s="537"/>
      <c r="Q87" s="17"/>
      <c r="R87" s="17"/>
      <c r="S87" s="17"/>
    </row>
    <row r="88" spans="8:19" x14ac:dyDescent="0.35">
      <c r="H88" s="17"/>
      <c r="I88" s="17"/>
      <c r="J88" s="17"/>
      <c r="K88" s="17"/>
      <c r="L88" s="17"/>
      <c r="M88" s="17"/>
      <c r="N88" s="17"/>
      <c r="O88" s="17"/>
      <c r="P88" s="537"/>
      <c r="Q88" s="17"/>
      <c r="R88" s="17"/>
      <c r="S88" s="17"/>
    </row>
    <row r="89" spans="8:19" x14ac:dyDescent="0.35">
      <c r="H89" s="17"/>
      <c r="I89" s="17"/>
      <c r="J89" s="17"/>
      <c r="K89" s="17"/>
      <c r="L89" s="17"/>
      <c r="M89" s="17"/>
      <c r="N89" s="17"/>
      <c r="O89" s="17"/>
      <c r="P89" s="537"/>
      <c r="Q89" s="17"/>
      <c r="R89" s="17"/>
      <c r="S89" s="17"/>
    </row>
    <row r="90" spans="8:19" x14ac:dyDescent="0.35">
      <c r="H90" s="17"/>
      <c r="I90" s="17"/>
      <c r="J90" s="17"/>
      <c r="K90" s="17"/>
      <c r="L90" s="17"/>
      <c r="M90" s="17"/>
      <c r="N90" s="17"/>
      <c r="O90" s="17"/>
      <c r="P90" s="537"/>
      <c r="Q90" s="17"/>
      <c r="R90" s="17"/>
      <c r="S90" s="17"/>
    </row>
    <row r="91" spans="8:19" x14ac:dyDescent="0.35">
      <c r="H91" s="17"/>
      <c r="I91" s="17"/>
      <c r="J91" s="17"/>
      <c r="K91" s="17"/>
      <c r="L91" s="17"/>
      <c r="M91" s="17"/>
      <c r="N91" s="17"/>
      <c r="O91" s="17"/>
      <c r="P91" s="537"/>
      <c r="Q91" s="17"/>
      <c r="R91" s="17"/>
      <c r="S91" s="17"/>
    </row>
    <row r="92" spans="8:19" x14ac:dyDescent="0.35">
      <c r="H92" s="17"/>
      <c r="I92" s="17"/>
      <c r="J92" s="17"/>
      <c r="K92" s="17"/>
      <c r="L92" s="17"/>
      <c r="M92" s="17"/>
      <c r="N92" s="17"/>
      <c r="O92" s="17"/>
      <c r="P92" s="537"/>
      <c r="Q92" s="17"/>
      <c r="R92" s="17"/>
      <c r="S92" s="17"/>
    </row>
    <row r="93" spans="8:19" x14ac:dyDescent="0.35">
      <c r="H93" s="17"/>
      <c r="I93" s="17"/>
      <c r="J93" s="17"/>
      <c r="K93" s="17"/>
      <c r="L93" s="17"/>
      <c r="M93" s="17"/>
      <c r="N93" s="17"/>
      <c r="O93" s="17"/>
      <c r="P93" s="537"/>
      <c r="Q93" s="17"/>
      <c r="R93" s="17"/>
      <c r="S93" s="17"/>
    </row>
    <row r="94" spans="8:19" x14ac:dyDescent="0.35">
      <c r="H94" s="17"/>
      <c r="I94" s="17"/>
      <c r="J94" s="17"/>
      <c r="K94" s="17"/>
      <c r="L94" s="17"/>
      <c r="M94" s="17"/>
      <c r="N94" s="17"/>
      <c r="O94" s="17"/>
      <c r="P94" s="537"/>
      <c r="Q94" s="17"/>
      <c r="R94" s="17"/>
      <c r="S94" s="17"/>
    </row>
    <row r="95" spans="8:19" x14ac:dyDescent="0.35">
      <c r="H95" s="17"/>
      <c r="I95" s="17"/>
      <c r="J95" s="17"/>
      <c r="K95" s="17"/>
      <c r="L95" s="17"/>
      <c r="M95" s="17"/>
      <c r="N95" s="17"/>
      <c r="O95" s="17"/>
      <c r="P95" s="537"/>
      <c r="Q95" s="17"/>
      <c r="R95" s="17"/>
      <c r="S95" s="17"/>
    </row>
    <row r="96" spans="8:19" x14ac:dyDescent="0.35">
      <c r="H96" s="17"/>
      <c r="I96" s="17"/>
      <c r="J96" s="17"/>
      <c r="K96" s="17"/>
      <c r="L96" s="17"/>
      <c r="M96" s="17"/>
      <c r="N96" s="17"/>
      <c r="O96" s="17"/>
      <c r="P96" s="537"/>
      <c r="Q96" s="17"/>
      <c r="R96" s="17"/>
      <c r="S96" s="17"/>
    </row>
    <row r="97" spans="8:19" x14ac:dyDescent="0.35">
      <c r="H97" s="17"/>
      <c r="I97" s="17"/>
      <c r="J97" s="17"/>
      <c r="K97" s="17"/>
      <c r="L97" s="17"/>
      <c r="M97" s="17"/>
      <c r="N97" s="17"/>
      <c r="O97" s="17"/>
      <c r="P97" s="537"/>
      <c r="Q97" s="17"/>
      <c r="R97" s="17"/>
      <c r="S97" s="17"/>
    </row>
    <row r="98" spans="8:19" x14ac:dyDescent="0.35">
      <c r="H98" s="17"/>
      <c r="I98" s="17"/>
      <c r="J98" s="17"/>
      <c r="K98" s="17"/>
      <c r="L98" s="17"/>
      <c r="M98" s="17"/>
      <c r="N98" s="17"/>
      <c r="O98" s="17"/>
      <c r="P98" s="537"/>
      <c r="Q98" s="17"/>
      <c r="R98" s="17"/>
      <c r="S98" s="17"/>
    </row>
    <row r="99" spans="8:19" x14ac:dyDescent="0.35">
      <c r="H99" s="17"/>
      <c r="I99" s="17"/>
      <c r="J99" s="17"/>
      <c r="K99" s="17"/>
      <c r="L99" s="17"/>
      <c r="M99" s="17"/>
      <c r="N99" s="17"/>
      <c r="O99" s="17"/>
      <c r="P99" s="537"/>
      <c r="Q99" s="17"/>
      <c r="R99" s="17"/>
      <c r="S99" s="17"/>
    </row>
    <row r="100" spans="8:19" x14ac:dyDescent="0.35">
      <c r="H100" s="17"/>
      <c r="I100" s="17"/>
      <c r="J100" s="17"/>
      <c r="K100" s="17"/>
      <c r="L100" s="17"/>
      <c r="M100" s="17"/>
      <c r="N100" s="17"/>
      <c r="O100" s="17"/>
      <c r="P100" s="537"/>
      <c r="Q100" s="17"/>
      <c r="R100" s="17"/>
      <c r="S100" s="17"/>
    </row>
    <row r="101" spans="8:19" x14ac:dyDescent="0.35">
      <c r="H101" s="17"/>
      <c r="I101" s="17"/>
      <c r="J101" s="17"/>
      <c r="K101" s="17"/>
      <c r="L101" s="17"/>
      <c r="M101" s="17"/>
      <c r="N101" s="17"/>
      <c r="O101" s="17"/>
      <c r="P101" s="537"/>
      <c r="Q101" s="17"/>
      <c r="R101" s="17"/>
      <c r="S101" s="17"/>
    </row>
    <row r="102" spans="8:19" x14ac:dyDescent="0.35">
      <c r="H102" s="17"/>
      <c r="I102" s="17"/>
      <c r="J102" s="17"/>
      <c r="K102" s="17"/>
      <c r="L102" s="17"/>
      <c r="M102" s="17"/>
      <c r="N102" s="17"/>
      <c r="O102" s="17"/>
      <c r="P102" s="537"/>
      <c r="Q102" s="17"/>
      <c r="R102" s="17"/>
      <c r="S102" s="17"/>
    </row>
    <row r="103" spans="8:19" x14ac:dyDescent="0.35">
      <c r="H103" s="17"/>
      <c r="I103" s="17"/>
      <c r="J103" s="17"/>
      <c r="K103" s="17"/>
      <c r="L103" s="17"/>
      <c r="M103" s="17"/>
      <c r="N103" s="17"/>
      <c r="O103" s="17"/>
      <c r="P103" s="537"/>
      <c r="Q103" s="17"/>
      <c r="R103" s="17"/>
      <c r="S103" s="17"/>
    </row>
    <row r="104" spans="8:19" x14ac:dyDescent="0.35">
      <c r="H104" s="17"/>
      <c r="I104" s="17"/>
      <c r="J104" s="17"/>
      <c r="K104" s="17"/>
      <c r="L104" s="17"/>
      <c r="M104" s="17"/>
      <c r="N104" s="17"/>
      <c r="O104" s="17"/>
      <c r="P104" s="537"/>
      <c r="Q104" s="17"/>
      <c r="R104" s="17"/>
      <c r="S104" s="17"/>
    </row>
    <row r="105" spans="8:19" x14ac:dyDescent="0.35">
      <c r="H105" s="17"/>
      <c r="I105" s="17"/>
      <c r="J105" s="17"/>
      <c r="K105" s="17"/>
      <c r="L105" s="17"/>
      <c r="M105" s="17"/>
      <c r="N105" s="17"/>
      <c r="O105" s="17"/>
      <c r="P105" s="537"/>
      <c r="Q105" s="17"/>
      <c r="R105" s="17"/>
      <c r="S105" s="17"/>
    </row>
    <row r="106" spans="8:19" x14ac:dyDescent="0.35">
      <c r="H106" s="17"/>
      <c r="I106" s="17"/>
      <c r="J106" s="17"/>
      <c r="K106" s="17"/>
      <c r="L106" s="17"/>
      <c r="M106" s="17"/>
      <c r="N106" s="17"/>
      <c r="O106" s="17"/>
      <c r="P106" s="537"/>
      <c r="Q106" s="17"/>
      <c r="R106" s="17"/>
      <c r="S106" s="17"/>
    </row>
    <row r="107" spans="8:19" x14ac:dyDescent="0.35">
      <c r="H107" s="17"/>
      <c r="I107" s="17"/>
      <c r="J107" s="17"/>
      <c r="K107" s="17"/>
      <c r="L107" s="17"/>
      <c r="M107" s="17"/>
      <c r="N107" s="17"/>
      <c r="O107" s="17"/>
      <c r="P107" s="537"/>
      <c r="Q107" s="17"/>
      <c r="R107" s="17"/>
      <c r="S107" s="17"/>
    </row>
    <row r="108" spans="8:19" x14ac:dyDescent="0.35">
      <c r="H108" s="17"/>
      <c r="I108" s="17"/>
      <c r="J108" s="17"/>
      <c r="K108" s="17"/>
      <c r="L108" s="17"/>
      <c r="M108" s="17"/>
      <c r="N108" s="17"/>
      <c r="O108" s="17"/>
      <c r="P108" s="537"/>
      <c r="Q108" s="17"/>
      <c r="R108" s="17"/>
      <c r="S108" s="17"/>
    </row>
    <row r="109" spans="8:19" x14ac:dyDescent="0.35">
      <c r="H109" s="17"/>
      <c r="I109" s="17"/>
      <c r="J109" s="17"/>
      <c r="K109" s="17"/>
      <c r="L109" s="17"/>
      <c r="M109" s="17"/>
      <c r="N109" s="17"/>
      <c r="O109" s="17"/>
      <c r="P109" s="537"/>
      <c r="Q109" s="17"/>
      <c r="R109" s="17"/>
      <c r="S109" s="17"/>
    </row>
    <row r="110" spans="8:19" x14ac:dyDescent="0.35">
      <c r="H110" s="17"/>
      <c r="I110" s="17"/>
      <c r="J110" s="17"/>
      <c r="K110" s="17"/>
      <c r="L110" s="17"/>
      <c r="M110" s="17"/>
      <c r="N110" s="17"/>
      <c r="O110" s="17"/>
      <c r="P110" s="537"/>
      <c r="Q110" s="17"/>
      <c r="R110" s="17"/>
      <c r="S110" s="17"/>
    </row>
    <row r="111" spans="8:19" x14ac:dyDescent="0.35">
      <c r="H111" s="17"/>
      <c r="I111" s="17"/>
      <c r="J111" s="17"/>
      <c r="K111" s="17"/>
      <c r="L111" s="17"/>
      <c r="M111" s="17"/>
      <c r="N111" s="17"/>
      <c r="O111" s="17"/>
      <c r="P111" s="537"/>
      <c r="Q111" s="17"/>
      <c r="R111" s="17"/>
      <c r="S111" s="17"/>
    </row>
    <row r="112" spans="8:19" x14ac:dyDescent="0.35">
      <c r="H112" s="17"/>
      <c r="I112" s="17"/>
      <c r="J112" s="17"/>
      <c r="K112" s="17"/>
      <c r="L112" s="17"/>
      <c r="M112" s="17"/>
      <c r="N112" s="17"/>
      <c r="O112" s="17"/>
      <c r="P112" s="537"/>
      <c r="Q112" s="17"/>
      <c r="R112" s="17"/>
      <c r="S112" s="17"/>
    </row>
    <row r="113" spans="8:19" x14ac:dyDescent="0.35">
      <c r="H113" s="17"/>
      <c r="I113" s="17"/>
      <c r="J113" s="17"/>
      <c r="K113" s="17"/>
      <c r="L113" s="17"/>
      <c r="M113" s="17"/>
      <c r="N113" s="17"/>
      <c r="O113" s="17"/>
      <c r="P113" s="537"/>
      <c r="Q113" s="17"/>
      <c r="R113" s="17"/>
      <c r="S113" s="17"/>
    </row>
    <row r="114" spans="8:19" x14ac:dyDescent="0.35">
      <c r="H114" s="17"/>
      <c r="I114" s="17"/>
      <c r="J114" s="17"/>
      <c r="K114" s="17"/>
      <c r="L114" s="17"/>
      <c r="M114" s="17"/>
      <c r="N114" s="17"/>
      <c r="O114" s="17"/>
      <c r="P114" s="537"/>
      <c r="Q114" s="17"/>
      <c r="R114" s="17"/>
      <c r="S114" s="17"/>
    </row>
    <row r="115" spans="8:19" x14ac:dyDescent="0.35">
      <c r="H115" s="17"/>
      <c r="I115" s="17"/>
      <c r="J115" s="17"/>
      <c r="K115" s="17"/>
      <c r="L115" s="17"/>
      <c r="M115" s="17"/>
      <c r="N115" s="17"/>
      <c r="O115" s="17"/>
      <c r="P115" s="537"/>
    </row>
    <row r="116" spans="8:19" x14ac:dyDescent="0.35">
      <c r="H116" s="17"/>
      <c r="I116" s="17"/>
      <c r="J116" s="17"/>
      <c r="K116" s="17"/>
      <c r="L116" s="17"/>
      <c r="M116" s="17"/>
      <c r="N116" s="17"/>
      <c r="O116" s="17"/>
      <c r="P116" s="537"/>
    </row>
    <row r="117" spans="8:19" x14ac:dyDescent="0.35">
      <c r="H117" s="17"/>
      <c r="I117" s="17"/>
      <c r="J117" s="17"/>
      <c r="K117" s="17"/>
      <c r="L117" s="17"/>
      <c r="M117" s="17"/>
      <c r="N117" s="17"/>
      <c r="O117" s="17"/>
      <c r="P117" s="537"/>
    </row>
    <row r="118" spans="8:19" x14ac:dyDescent="0.35">
      <c r="H118" s="17"/>
      <c r="I118" s="17"/>
      <c r="J118" s="17"/>
      <c r="K118" s="17"/>
      <c r="L118" s="17"/>
      <c r="M118" s="17"/>
      <c r="N118" s="17"/>
      <c r="O118" s="17"/>
      <c r="P118" s="537"/>
    </row>
  </sheetData>
  <mergeCells count="5">
    <mergeCell ref="H6:J6"/>
    <mergeCell ref="S41:V46"/>
    <mergeCell ref="A7:D7"/>
    <mergeCell ref="S22:V27"/>
    <mergeCell ref="L6:N6"/>
  </mergeCells>
  <conditionalFormatting sqref="P10:P18">
    <cfRule type="cellIs" dxfId="3" priority="28" operator="equal">
      <formula>#REF!</formula>
    </cfRule>
  </conditionalFormatting>
  <conditionalFormatting sqref="P22:P29">
    <cfRule type="cellIs" dxfId="2" priority="23" operator="equal">
      <formula>#REF!</formula>
    </cfRule>
  </conditionalFormatting>
  <conditionalFormatting sqref="P34:P36">
    <cfRule type="cellIs" dxfId="1" priority="15" operator="equal">
      <formula>#REF!</formula>
    </cfRule>
  </conditionalFormatting>
  <conditionalFormatting sqref="P41:P45">
    <cfRule type="cellIs" dxfId="0" priority="12" operator="equal">
      <formula>#REF!</formula>
    </cfRule>
  </conditionalFormatting>
  <pageMargins left="0.25" right="0.16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opLeftCell="A16" workbookViewId="0">
      <selection activeCell="G36" sqref="G36"/>
    </sheetView>
  </sheetViews>
  <sheetFormatPr defaultRowHeight="18" customHeight="1" x14ac:dyDescent="0.35"/>
  <cols>
    <col min="1" max="1" width="4" style="345" customWidth="1"/>
    <col min="2" max="2" width="28" customWidth="1"/>
    <col min="3" max="5" width="13.7265625" style="138" customWidth="1"/>
    <col min="6" max="7" width="13.26953125" style="138" customWidth="1"/>
    <col min="8" max="8" width="10.7265625" customWidth="1"/>
    <col min="9" max="9" width="10.81640625" bestFit="1" customWidth="1"/>
    <col min="13" max="13" width="10.453125" customWidth="1"/>
  </cols>
  <sheetData>
    <row r="1" spans="1:12" ht="18" customHeight="1" x14ac:dyDescent="0.35">
      <c r="C1" s="338" t="s">
        <v>36</v>
      </c>
      <c r="D1" s="338" t="s">
        <v>37</v>
      </c>
      <c r="E1" s="338" t="s">
        <v>38</v>
      </c>
      <c r="F1" s="338" t="s">
        <v>39</v>
      </c>
      <c r="G1" s="338" t="s">
        <v>40</v>
      </c>
    </row>
    <row r="2" spans="1:12" ht="18" customHeight="1" x14ac:dyDescent="0.35">
      <c r="C2" s="136" t="s">
        <v>41</v>
      </c>
      <c r="D2" s="136" t="s">
        <v>42</v>
      </c>
      <c r="E2" s="136" t="s">
        <v>42</v>
      </c>
      <c r="F2" s="136" t="s">
        <v>42</v>
      </c>
      <c r="G2" s="136" t="s">
        <v>42</v>
      </c>
    </row>
    <row r="3" spans="1:12" ht="18" customHeight="1" x14ac:dyDescent="0.35">
      <c r="B3" s="4" t="s">
        <v>43</v>
      </c>
      <c r="C3" s="169" t="s">
        <v>44</v>
      </c>
      <c r="D3" s="169" t="s">
        <v>45</v>
      </c>
      <c r="E3" s="169" t="s">
        <v>46</v>
      </c>
      <c r="F3" s="169" t="s">
        <v>47</v>
      </c>
      <c r="G3" s="169" t="s">
        <v>48</v>
      </c>
      <c r="H3" s="169" t="s">
        <v>49</v>
      </c>
    </row>
    <row r="4" spans="1:12" ht="18" customHeight="1" x14ac:dyDescent="0.35">
      <c r="B4" s="213" t="s">
        <v>50</v>
      </c>
    </row>
    <row r="5" spans="1:12" s="46" customFormat="1" ht="18" customHeight="1" x14ac:dyDescent="0.35">
      <c r="A5" s="346"/>
      <c r="B5" s="46" t="s">
        <v>51</v>
      </c>
      <c r="C5" s="242">
        <f>+'STAFFING WORKSHEET-YR01 16 MON'!J44+1</f>
        <v>284603.47466666665</v>
      </c>
      <c r="D5" s="242">
        <f>+'STAFFING WORKSHEET-YR02'!J45</f>
        <v>188965.05108</v>
      </c>
      <c r="E5" s="242">
        <f>+'STAFFING WORKSHEET-YR03'!J45</f>
        <v>159975.18334079999</v>
      </c>
      <c r="F5" s="242">
        <f>+'STAFFING WORKSHEET-YR04'!J45</f>
        <v>0</v>
      </c>
      <c r="G5" s="242">
        <f>+'STAFFING WORKSHEET-YR05'!J45</f>
        <v>0</v>
      </c>
      <c r="H5" s="242">
        <f t="shared" ref="H5:H10" si="0">SUM(C5:G5)</f>
        <v>633543.70908746659</v>
      </c>
    </row>
    <row r="6" spans="1:12" s="114" customFormat="1" ht="18" customHeight="1" x14ac:dyDescent="0.35">
      <c r="A6" s="347"/>
      <c r="B6" s="114" t="s">
        <v>52</v>
      </c>
      <c r="C6" s="242">
        <f>+'STAFFING WORKSHEET-YR01 16 MON'!J69</f>
        <v>64667.930399999997</v>
      </c>
      <c r="D6" s="242">
        <f>+'STAFFING WORKSHEET-YR02'!J70</f>
        <v>41092.670844</v>
      </c>
      <c r="E6" s="242">
        <f>+'STAFFING WORKSHEET-YR03'!J70</f>
        <v>36828.528236640006</v>
      </c>
      <c r="F6" s="242">
        <f>+'STAFFING WORKSHEET-YR04'!J70</f>
        <v>0</v>
      </c>
      <c r="G6" s="242">
        <f>+'STAFFING WORKSHEET-YR05'!J70</f>
        <v>0</v>
      </c>
      <c r="H6" s="242">
        <f t="shared" si="0"/>
        <v>142589.12948064</v>
      </c>
      <c r="I6" s="233"/>
    </row>
    <row r="7" spans="1:12" ht="18" customHeight="1" x14ac:dyDescent="0.35">
      <c r="B7" t="s">
        <v>53</v>
      </c>
      <c r="C7" s="301">
        <f>+'ORG LEADERSHIP OTHER EXPENSES'!E5</f>
        <v>5300</v>
      </c>
      <c r="D7" s="301">
        <f>+'ORG LEADERSHIP OTHER EXPENSES'!I5</f>
        <v>1500</v>
      </c>
      <c r="E7" s="301">
        <f>+'ORG LEADERSHIP OTHER EXPENSES'!M5</f>
        <v>0</v>
      </c>
      <c r="F7" s="138">
        <f>+'ORG LEADERSHIP OTHER EXPENSES'!Q5</f>
        <v>0</v>
      </c>
      <c r="G7" s="138">
        <f>+'ORG LEADERSHIP OTHER EXPENSES'!U5</f>
        <v>0</v>
      </c>
      <c r="H7" s="138">
        <f t="shared" si="0"/>
        <v>6800</v>
      </c>
    </row>
    <row r="8" spans="1:12" ht="18" customHeight="1" x14ac:dyDescent="0.35">
      <c r="B8" t="s">
        <v>54</v>
      </c>
      <c r="C8" s="138">
        <f>+'ORG LEADERSHIP OTHER EXPENSES'!E12</f>
        <v>11400</v>
      </c>
      <c r="D8" s="138">
        <f>+'ORG LEADERSHIP OTHER EXPENSES'!I12</f>
        <v>9900</v>
      </c>
      <c r="E8" s="138">
        <f>+'ORG LEADERSHIP OTHER EXPENSES'!M12</f>
        <v>9900</v>
      </c>
      <c r="F8" s="138">
        <f>+'ORG LEADERSHIP OTHER EXPENSES'!Q12</f>
        <v>0</v>
      </c>
      <c r="G8" s="138">
        <f>+'ORG LEADERSHIP OTHER EXPENSES'!U12</f>
        <v>0</v>
      </c>
      <c r="H8" s="138">
        <f t="shared" si="0"/>
        <v>31200</v>
      </c>
    </row>
    <row r="9" spans="1:12" ht="18" customHeight="1" x14ac:dyDescent="0.35">
      <c r="B9" t="s">
        <v>55</v>
      </c>
      <c r="C9" s="138">
        <f>+'ORG LEADERSHIP OTHER EXPENSES'!E48</f>
        <v>4000</v>
      </c>
      <c r="D9" s="138">
        <f>+'ORG LEADERSHIP OTHER EXPENSES'!I48</f>
        <v>1000</v>
      </c>
      <c r="E9" s="138">
        <f>+'ORG LEADERSHIP OTHER EXPENSES'!M48</f>
        <v>1000</v>
      </c>
      <c r="F9" s="138">
        <f>+'ORG LEADERSHIP OTHER EXPENSES'!Q48</f>
        <v>0</v>
      </c>
      <c r="G9" s="138">
        <f>+'ORG LEADERSHIP OTHER EXPENSES'!U48</f>
        <v>0</v>
      </c>
      <c r="H9" s="138">
        <f t="shared" si="0"/>
        <v>6000</v>
      </c>
      <c r="L9" s="296"/>
    </row>
    <row r="10" spans="1:12" ht="18" customHeight="1" x14ac:dyDescent="0.35">
      <c r="B10" t="s">
        <v>56</v>
      </c>
      <c r="C10" s="138">
        <f>+'ORG LEADERSHIP OTHER EXPENSES'!E54</f>
        <v>500</v>
      </c>
      <c r="D10" s="138">
        <f>+'ORG LEADERSHIP OTHER EXPENSES'!I54</f>
        <v>500</v>
      </c>
      <c r="E10" s="138">
        <f>+'ORG LEADERSHIP OTHER EXPENSES'!M54</f>
        <v>500</v>
      </c>
      <c r="F10" s="138">
        <f>+'ORG LEADERSHIP OTHER EXPENSES'!Q54</f>
        <v>0</v>
      </c>
      <c r="G10" s="138">
        <f>+'ORG LEADERSHIP OTHER EXPENSES'!U54</f>
        <v>0</v>
      </c>
      <c r="H10" s="138">
        <f t="shared" si="0"/>
        <v>1500</v>
      </c>
    </row>
    <row r="12" spans="1:12" ht="18" customHeight="1" x14ac:dyDescent="0.35">
      <c r="B12" s="216" t="s">
        <v>57</v>
      </c>
    </row>
    <row r="13" spans="1:12" s="46" customFormat="1" ht="18" customHeight="1" x14ac:dyDescent="0.35">
      <c r="A13" s="346"/>
      <c r="B13" s="46" t="s">
        <v>51</v>
      </c>
      <c r="C13" s="242">
        <f>+'STAFFING WORKSHEET-YR01 16 MON'!N44</f>
        <v>221929.1</v>
      </c>
      <c r="D13" s="242">
        <f>+'STAFFING WORKSHEET-YR02'!N45</f>
        <v>153904.842</v>
      </c>
      <c r="E13" s="242">
        <f>+'STAFFING WORKSHEET-YR03'!N45</f>
        <v>133573.93884000002</v>
      </c>
      <c r="F13" s="242">
        <f>+'STAFFING WORKSHEET-YR04'!N45</f>
        <v>0</v>
      </c>
      <c r="G13" s="242">
        <f>+'STAFFING WORKSHEET-YR05'!N45</f>
        <v>0</v>
      </c>
      <c r="H13" s="242">
        <f>SUM(C13:G13)</f>
        <v>509407.88084000006</v>
      </c>
    </row>
    <row r="14" spans="1:12" s="114" customFormat="1" ht="18" customHeight="1" x14ac:dyDescent="0.35">
      <c r="A14" s="347"/>
      <c r="B14" s="114" t="s">
        <v>52</v>
      </c>
      <c r="C14" s="242">
        <f>+'STAFFING WORKSHEET-YR01 16 MON'!N69</f>
        <v>66578.73</v>
      </c>
      <c r="D14" s="242">
        <f>+'STAFFING WORKSHEET-YR02'!N70</f>
        <v>46171.452600000004</v>
      </c>
      <c r="E14" s="242">
        <f>+'STAFFING WORKSHEET-YR03'!N70</f>
        <v>40072.181651999999</v>
      </c>
      <c r="F14" s="242">
        <f>+'STAFFING WORKSHEET-YR04'!N70</f>
        <v>0</v>
      </c>
      <c r="G14" s="242">
        <f>+'STAFFING WORKSHEET-YR05'!N70</f>
        <v>0</v>
      </c>
      <c r="H14" s="242">
        <f t="shared" ref="H14:H22" si="1">SUM(C14:G14)</f>
        <v>152822.364252</v>
      </c>
    </row>
    <row r="15" spans="1:12" ht="18" customHeight="1" x14ac:dyDescent="0.35">
      <c r="B15" t="s">
        <v>58</v>
      </c>
      <c r="C15" s="301">
        <f>+'DIRECT SVCS OTHER EXPENSES'!E5</f>
        <v>0</v>
      </c>
      <c r="D15" s="301">
        <f>+'DIRECT SVCS OTHER EXPENSES'!I5</f>
        <v>0</v>
      </c>
      <c r="E15" s="301">
        <f>+'DIRECT SVCS OTHER EXPENSES'!M5</f>
        <v>0</v>
      </c>
      <c r="F15" s="138">
        <f>+'DIRECT SVCS OTHER EXPENSES'!Q5</f>
        <v>0</v>
      </c>
      <c r="G15" s="138">
        <f>+'DIRECT SVCS OTHER EXPENSES'!U5</f>
        <v>0</v>
      </c>
      <c r="H15" s="138">
        <f t="shared" si="1"/>
        <v>0</v>
      </c>
    </row>
    <row r="16" spans="1:12" ht="18" customHeight="1" x14ac:dyDescent="0.35">
      <c r="B16" t="s">
        <v>59</v>
      </c>
      <c r="C16" s="138">
        <f>+'DIRECT SVCS OTHER EXPENSES'!E10</f>
        <v>3300</v>
      </c>
      <c r="D16" s="138">
        <f>+'DIRECT SVCS OTHER EXPENSES'!I10</f>
        <v>0</v>
      </c>
      <c r="E16" s="138">
        <f>+'DIRECT SVCS OTHER EXPENSES'!M10</f>
        <v>0</v>
      </c>
      <c r="F16" s="138">
        <f>+'DIRECT SVCS OTHER EXPENSES'!Q10</f>
        <v>0</v>
      </c>
      <c r="G16" s="138">
        <f>+'DIRECT SVCS OTHER EXPENSES'!U10</f>
        <v>0</v>
      </c>
      <c r="H16" s="138">
        <f t="shared" si="1"/>
        <v>3300</v>
      </c>
      <c r="L16" s="296"/>
    </row>
    <row r="17" spans="1:8" ht="18" customHeight="1" x14ac:dyDescent="0.35">
      <c r="B17" t="s">
        <v>54</v>
      </c>
      <c r="C17" s="138">
        <f>+'DIRECT SVCS OTHER EXPENSES'!E18</f>
        <v>700</v>
      </c>
      <c r="D17" s="138">
        <f>+'DIRECT SVCS OTHER EXPENSES'!I18</f>
        <v>700</v>
      </c>
      <c r="E17" s="138">
        <f>+'DIRECT SVCS OTHER EXPENSES'!M18</f>
        <v>700</v>
      </c>
      <c r="F17" s="138">
        <f>+'DIRECT SVCS OTHER EXPENSES'!Q18</f>
        <v>0</v>
      </c>
      <c r="G17" s="138">
        <f>+'DIRECT SVCS OTHER EXPENSES'!U18</f>
        <v>0</v>
      </c>
      <c r="H17" s="138">
        <f t="shared" si="1"/>
        <v>2100</v>
      </c>
    </row>
    <row r="18" spans="1:8" ht="18" customHeight="1" x14ac:dyDescent="0.35">
      <c r="B18" t="s">
        <v>60</v>
      </c>
      <c r="C18" s="138">
        <f>+'DIRECT SVCS OTHER EXPENSES'!E26</f>
        <v>44800</v>
      </c>
      <c r="D18" s="138">
        <f>+'DIRECT SVCS OTHER EXPENSES'!I26</f>
        <v>36700</v>
      </c>
      <c r="E18" s="138">
        <f>+'DIRECT SVCS OTHER EXPENSES'!M26</f>
        <v>19600</v>
      </c>
      <c r="F18" s="138">
        <f>+'DIRECT SVCS OTHER EXPENSES'!Q26</f>
        <v>0</v>
      </c>
      <c r="G18" s="138">
        <f>+'DIRECT SVCS OTHER EXPENSES'!U26</f>
        <v>0</v>
      </c>
      <c r="H18" s="138">
        <f t="shared" si="1"/>
        <v>101100</v>
      </c>
    </row>
    <row r="19" spans="1:8" ht="18" customHeight="1" x14ac:dyDescent="0.35">
      <c r="B19" t="s">
        <v>61</v>
      </c>
      <c r="C19" s="138">
        <f>+'DIRECT SVCS OTHER EXPENSES'!E70</f>
        <v>0</v>
      </c>
      <c r="D19" s="138">
        <f>+'DIRECT SVCS OTHER EXPENSES'!I70</f>
        <v>0</v>
      </c>
      <c r="E19" s="138">
        <f>+'DIRECT SVCS OTHER EXPENSES'!M70</f>
        <v>0</v>
      </c>
      <c r="F19" s="138">
        <f>+'DIRECT SVCS OTHER EXPENSES'!Q70</f>
        <v>0</v>
      </c>
      <c r="G19" s="138">
        <f>+'DIRECT SVCS OTHER EXPENSES'!U70</f>
        <v>0</v>
      </c>
      <c r="H19" s="138">
        <f t="shared" si="1"/>
        <v>0</v>
      </c>
    </row>
    <row r="20" spans="1:8" ht="18" customHeight="1" x14ac:dyDescent="0.35">
      <c r="B20" t="s">
        <v>62</v>
      </c>
      <c r="C20" s="138">
        <f>+'DIRECT SVCS OTHER EXPENSES'!E76</f>
        <v>3700</v>
      </c>
      <c r="D20" s="138">
        <f>+'DIRECT SVCS OTHER EXPENSES'!I76</f>
        <v>1200</v>
      </c>
      <c r="E20" s="138">
        <f>+'DIRECT SVCS OTHER EXPENSES'!M76</f>
        <v>1200</v>
      </c>
      <c r="F20" s="138">
        <f>+'DIRECT SVCS OTHER EXPENSES'!Q76</f>
        <v>0</v>
      </c>
      <c r="G20" s="138">
        <f>+'DIRECT SVCS OTHER EXPENSES'!U76</f>
        <v>0</v>
      </c>
      <c r="H20" s="138">
        <f t="shared" si="1"/>
        <v>6100</v>
      </c>
    </row>
    <row r="21" spans="1:8" ht="18" customHeight="1" x14ac:dyDescent="0.35">
      <c r="B21" t="s">
        <v>63</v>
      </c>
      <c r="C21" s="301">
        <f>+'DIRECT SVCS OTHER EXPENSES'!E82</f>
        <v>45900</v>
      </c>
      <c r="D21" s="301">
        <f>+'DIRECT SVCS OTHER EXPENSES'!I82</f>
        <v>36600</v>
      </c>
      <c r="E21" s="301">
        <f>+'DIRECT SVCS OTHER EXPENSES'!M82</f>
        <v>31900</v>
      </c>
      <c r="F21" s="138">
        <f>+'DIRECT SVCS OTHER EXPENSES'!Q82</f>
        <v>0</v>
      </c>
      <c r="G21" s="138">
        <f>+'DIRECT SVCS OTHER EXPENSES'!U82</f>
        <v>0</v>
      </c>
      <c r="H21" s="138">
        <f t="shared" si="1"/>
        <v>114400</v>
      </c>
    </row>
    <row r="22" spans="1:8" ht="18" customHeight="1" x14ac:dyDescent="0.35">
      <c r="B22" t="s">
        <v>56</v>
      </c>
      <c r="C22" s="301">
        <f>+'DIRECT SVCS OTHER EXPENSES'!E103</f>
        <v>11200</v>
      </c>
      <c r="D22" s="301">
        <f>+'DIRECT SVCS OTHER EXPENSES'!I103</f>
        <v>1500</v>
      </c>
      <c r="E22" s="301">
        <f>+'DIRECT SVCS OTHER EXPENSES'!M103</f>
        <v>1500</v>
      </c>
      <c r="F22" s="138">
        <f>+'DIRECT SVCS OTHER EXPENSES'!Q103</f>
        <v>700</v>
      </c>
      <c r="G22" s="138">
        <f>+'DIRECT SVCS OTHER EXPENSES'!U103</f>
        <v>700</v>
      </c>
      <c r="H22" s="138">
        <f t="shared" si="1"/>
        <v>15600</v>
      </c>
    </row>
    <row r="24" spans="1:8" ht="18" customHeight="1" x14ac:dyDescent="0.35">
      <c r="B24" s="225" t="s">
        <v>64</v>
      </c>
    </row>
    <row r="25" spans="1:8" s="46" customFormat="1" ht="18" customHeight="1" x14ac:dyDescent="0.35">
      <c r="A25" s="346"/>
      <c r="B25" s="46" t="s">
        <v>51</v>
      </c>
      <c r="C25" s="242">
        <f>+'STAFFING WORKSHEET-YR01 16 MON'!R44</f>
        <v>45662.225599999998</v>
      </c>
      <c r="D25" s="242">
        <f>+'STAFFING WORKSHEET-YR02'!R45</f>
        <v>38706.817584000004</v>
      </c>
      <c r="E25" s="242">
        <f>+'STAFFING WORKSHEET-YR03'!R45</f>
        <v>39481.253935679997</v>
      </c>
      <c r="F25" s="242">
        <f>+'STAFFING WORKSHEET-YR04'!R45</f>
        <v>21246.325614393601</v>
      </c>
      <c r="G25" s="242">
        <f>+'STAFFING WORKSHEET-YR05'!R45</f>
        <v>17033.377119710593</v>
      </c>
      <c r="H25" s="242">
        <f>SUM(C25:G25)</f>
        <v>162129.99985378419</v>
      </c>
    </row>
    <row r="26" spans="1:8" s="46" customFormat="1" ht="18" customHeight="1" x14ac:dyDescent="0.35">
      <c r="A26" s="346"/>
      <c r="B26" s="114" t="s">
        <v>52</v>
      </c>
      <c r="C26" s="242">
        <f>+'STAFFING WORKSHEET-YR01 16 MON'!R69</f>
        <v>9806.9676799999997</v>
      </c>
      <c r="D26" s="242">
        <f>+'STAFFING WORKSHEET-YR02'!R70</f>
        <v>7920.1732752000007</v>
      </c>
      <c r="E26" s="242">
        <f>+'STAFFING WORKSHEET-YR03'!R70</f>
        <v>8078.5767407040003</v>
      </c>
      <c r="F26" s="242">
        <f>+'STAFFING WORKSHEET-YR04'!R70</f>
        <v>4272.3976843180799</v>
      </c>
      <c r="G26" s="242">
        <f>+'STAFFING WORKSHEET-YR05'!R70</f>
        <v>2968.0131359131778</v>
      </c>
      <c r="H26" s="242">
        <f t="shared" ref="H26:H31" si="2">SUM(C26:G26)</f>
        <v>33046.128516135257</v>
      </c>
    </row>
    <row r="27" spans="1:8" ht="18" customHeight="1" x14ac:dyDescent="0.35">
      <c r="B27" t="s">
        <v>65</v>
      </c>
      <c r="C27" s="138">
        <f>+'EVALUATION OTHER EXPENSES'!E5</f>
        <v>1900</v>
      </c>
      <c r="D27" s="138">
        <f>+'EVALUATION OTHER EXPENSES'!I5</f>
        <v>1900</v>
      </c>
      <c r="E27" s="138">
        <f>+'EVALUATION OTHER EXPENSES'!M5</f>
        <v>1900</v>
      </c>
      <c r="F27" s="138">
        <f>+'EVALUATION OTHER EXPENSES'!Q5</f>
        <v>0</v>
      </c>
      <c r="G27" s="138">
        <f>+'EVALUATION OTHER EXPENSES'!U5</f>
        <v>0</v>
      </c>
      <c r="H27" s="138">
        <f t="shared" si="2"/>
        <v>5700</v>
      </c>
    </row>
    <row r="28" spans="1:8" ht="18" customHeight="1" x14ac:dyDescent="0.35">
      <c r="B28" t="s">
        <v>66</v>
      </c>
      <c r="C28" s="138">
        <f>+'EVALUATION OTHER EXPENSES'!E19</f>
        <v>0</v>
      </c>
      <c r="D28" s="138">
        <f>+'EVALUATION OTHER EXPENSES'!I19</f>
        <v>0</v>
      </c>
      <c r="E28" s="138">
        <f>+'EVALUATION OTHER EXPENSES'!M19</f>
        <v>0</v>
      </c>
      <c r="F28" s="138">
        <f>+'EVALUATION OTHER EXPENSES'!Q19</f>
        <v>0</v>
      </c>
      <c r="G28" s="138">
        <f>+'EVALUATION OTHER EXPENSES'!U19</f>
        <v>0</v>
      </c>
      <c r="H28" s="138">
        <f t="shared" si="2"/>
        <v>0</v>
      </c>
    </row>
    <row r="29" spans="1:8" ht="18" customHeight="1" x14ac:dyDescent="0.35">
      <c r="B29" t="s">
        <v>67</v>
      </c>
      <c r="C29" s="138">
        <f>+'EVALUATION OTHER EXPENSES'!E25</f>
        <v>0</v>
      </c>
      <c r="D29" s="138">
        <f>+'EVALUATION OTHER EXPENSES'!I25</f>
        <v>0</v>
      </c>
      <c r="E29" s="138">
        <f>+'EVALUATION OTHER EXPENSES'!M25</f>
        <v>0</v>
      </c>
      <c r="F29" s="138">
        <f>+'EVALUATION OTHER EXPENSES'!Q25</f>
        <v>0</v>
      </c>
      <c r="G29" s="138">
        <f>+'EVALUATION OTHER EXPENSES'!U25</f>
        <v>0</v>
      </c>
      <c r="H29" s="138">
        <f t="shared" si="2"/>
        <v>0</v>
      </c>
    </row>
    <row r="30" spans="1:8" ht="18" customHeight="1" x14ac:dyDescent="0.35">
      <c r="B30" t="s">
        <v>68</v>
      </c>
      <c r="C30" s="138">
        <f>+'EVALUATION OTHER EXPENSES'!E29</f>
        <v>0</v>
      </c>
      <c r="D30" s="138">
        <f>+'EVALUATION OTHER EXPENSES'!I29</f>
        <v>0</v>
      </c>
      <c r="E30" s="138">
        <f>+'EVALUATION OTHER EXPENSES'!M29</f>
        <v>0</v>
      </c>
      <c r="F30" s="138">
        <f>+'EVALUATION OTHER EXPENSES'!Q29</f>
        <v>0</v>
      </c>
      <c r="G30" s="138">
        <f>+'EVALUATION OTHER EXPENSES'!U29</f>
        <v>0</v>
      </c>
      <c r="H30" s="138">
        <f t="shared" si="2"/>
        <v>0</v>
      </c>
    </row>
    <row r="31" spans="1:8" ht="18" customHeight="1" x14ac:dyDescent="0.35">
      <c r="B31" t="s">
        <v>69</v>
      </c>
      <c r="C31" s="138">
        <f>+'EVALUATION OTHER EXPENSES'!E33</f>
        <v>0</v>
      </c>
      <c r="D31" s="138">
        <f>+'EVALUATION OTHER EXPENSES'!I33</f>
        <v>0</v>
      </c>
      <c r="E31" s="138">
        <f>+'EVALUATION OTHER EXPENSES'!M33</f>
        <v>0</v>
      </c>
      <c r="F31" s="138">
        <f>+'EVALUATION OTHER EXPENSES'!Q33</f>
        <v>0</v>
      </c>
      <c r="G31" s="138">
        <f>+'EVALUATION OTHER EXPENSES'!U33</f>
        <v>0</v>
      </c>
      <c r="H31" s="138">
        <f t="shared" si="2"/>
        <v>0</v>
      </c>
    </row>
    <row r="33" spans="1:11" ht="18" customHeight="1" x14ac:dyDescent="0.35">
      <c r="I33" s="297"/>
      <c r="J33" s="297"/>
      <c r="K33" s="297"/>
    </row>
    <row r="34" spans="1:11" s="4" customFormat="1" ht="18" customHeight="1" x14ac:dyDescent="0.35">
      <c r="A34" s="348"/>
      <c r="B34" s="162" t="s">
        <v>70</v>
      </c>
      <c r="C34" s="160">
        <f t="shared" ref="C34:H34" si="3">SUM(C4:C33)</f>
        <v>825948.42834666662</v>
      </c>
      <c r="D34" s="160">
        <f t="shared" si="3"/>
        <v>568261.00738319999</v>
      </c>
      <c r="E34" s="160">
        <f t="shared" si="3"/>
        <v>486209.66274582397</v>
      </c>
      <c r="F34" s="160">
        <f t="shared" si="3"/>
        <v>26218.72329871168</v>
      </c>
      <c r="G34" s="160">
        <f t="shared" si="3"/>
        <v>20701.39025562377</v>
      </c>
      <c r="H34" s="160">
        <f t="shared" si="3"/>
        <v>1927339.2120300261</v>
      </c>
      <c r="I34" s="300"/>
    </row>
    <row r="35" spans="1:11" s="356" customFormat="1" ht="18" customHeight="1" x14ac:dyDescent="0.35">
      <c r="A35" s="355" t="s">
        <v>1</v>
      </c>
      <c r="B35" s="356" t="s">
        <v>71</v>
      </c>
      <c r="C35" s="357">
        <f>+C63+69</f>
        <v>38251.528848000009</v>
      </c>
      <c r="D35" s="357">
        <f>+D63-10</f>
        <v>17339.146688320001</v>
      </c>
      <c r="E35" s="357">
        <f>+E63-11</f>
        <v>14790.285226678401</v>
      </c>
      <c r="F35" s="357">
        <f>+F63-64</f>
        <v>1081.7430384343679</v>
      </c>
      <c r="G35" s="357">
        <f>+G63+31</f>
        <v>1197.7478992030553</v>
      </c>
      <c r="H35" s="357">
        <f>SUM(C35:G35)</f>
        <v>72660.451700635822</v>
      </c>
      <c r="I35" s="358"/>
    </row>
    <row r="36" spans="1:11" ht="18" customHeight="1" thickBot="1" x14ac:dyDescent="0.4">
      <c r="B36" s="298" t="s">
        <v>72</v>
      </c>
      <c r="C36" s="299">
        <f t="shared" ref="C36:H36" si="4">SUM(C34:C35)</f>
        <v>864199.95719466661</v>
      </c>
      <c r="D36" s="299">
        <f t="shared" si="4"/>
        <v>585600.15407151997</v>
      </c>
      <c r="E36" s="299">
        <f t="shared" si="4"/>
        <v>500999.94797250238</v>
      </c>
      <c r="F36" s="299">
        <f t="shared" si="4"/>
        <v>27300.466337146048</v>
      </c>
      <c r="G36" s="299">
        <f t="shared" si="4"/>
        <v>21899.138154826825</v>
      </c>
      <c r="H36" s="299">
        <f t="shared" si="4"/>
        <v>1999999.6637306619</v>
      </c>
    </row>
    <row r="37" spans="1:11" ht="18" customHeight="1" thickTop="1" x14ac:dyDescent="0.35">
      <c r="B37" s="4"/>
      <c r="C37" s="139"/>
      <c r="D37" s="139"/>
      <c r="E37" s="139"/>
      <c r="F37" s="308"/>
      <c r="G37" s="309" t="s">
        <v>73</v>
      </c>
      <c r="H37" s="310">
        <v>2000000</v>
      </c>
    </row>
    <row r="38" spans="1:11" ht="18" customHeight="1" x14ac:dyDescent="0.35">
      <c r="B38" s="4" t="s">
        <v>74</v>
      </c>
      <c r="C38" s="139"/>
      <c r="D38" s="139"/>
      <c r="E38" s="139"/>
      <c r="F38" s="311"/>
      <c r="G38" s="312" t="s">
        <v>75</v>
      </c>
      <c r="H38" s="311">
        <f>+H36-H37</f>
        <v>-0.33626933814957738</v>
      </c>
    </row>
    <row r="39" spans="1:11" ht="18" customHeight="1" x14ac:dyDescent="0.35">
      <c r="C39" s="139"/>
      <c r="D39" s="139"/>
      <c r="E39" s="139"/>
      <c r="F39" s="139"/>
      <c r="G39" s="134"/>
      <c r="H39" s="139"/>
    </row>
    <row r="40" spans="1:11" ht="18" customHeight="1" x14ac:dyDescent="0.35">
      <c r="B40" s="302" t="str">
        <f>+B4</f>
        <v>ORGANIZATION/LEADERSHIP</v>
      </c>
      <c r="C40" s="160">
        <f t="shared" ref="C40:H40" si="5">SUM(C4:C10)</f>
        <v>370471.40506666666</v>
      </c>
      <c r="D40" s="160">
        <f t="shared" si="5"/>
        <v>242957.72192400001</v>
      </c>
      <c r="E40" s="160">
        <f t="shared" si="5"/>
        <v>208203.71157744</v>
      </c>
      <c r="F40" s="160">
        <f t="shared" si="5"/>
        <v>0</v>
      </c>
      <c r="G40" s="160">
        <f t="shared" si="5"/>
        <v>0</v>
      </c>
      <c r="H40" s="160">
        <f t="shared" si="5"/>
        <v>821632.83856810653</v>
      </c>
    </row>
    <row r="41" spans="1:11" ht="18" customHeight="1" x14ac:dyDescent="0.35">
      <c r="B41" s="303" t="str">
        <f>+B12</f>
        <v>DIRECT SERVICES</v>
      </c>
      <c r="C41" s="160">
        <f t="shared" ref="C41:H41" si="6">SUM(C13:C22)</f>
        <v>398107.83</v>
      </c>
      <c r="D41" s="160">
        <f t="shared" si="6"/>
        <v>276776.29460000002</v>
      </c>
      <c r="E41" s="160">
        <f t="shared" si="6"/>
        <v>228546.12049200002</v>
      </c>
      <c r="F41" s="160">
        <f t="shared" si="6"/>
        <v>700</v>
      </c>
      <c r="G41" s="160">
        <f t="shared" si="6"/>
        <v>700</v>
      </c>
      <c r="H41" s="160">
        <f t="shared" si="6"/>
        <v>904830.24509200011</v>
      </c>
    </row>
    <row r="42" spans="1:11" ht="18" customHeight="1" x14ac:dyDescent="0.35">
      <c r="B42" s="304" t="str">
        <f>+B24</f>
        <v>EVALUATION / MONITORING</v>
      </c>
      <c r="C42" s="160">
        <f t="shared" ref="C42:H42" si="7">SUM(C25:C31)</f>
        <v>57369.19328</v>
      </c>
      <c r="D42" s="160">
        <f t="shared" si="7"/>
        <v>48526.990859200007</v>
      </c>
      <c r="E42" s="160">
        <f t="shared" si="7"/>
        <v>49459.830676383994</v>
      </c>
      <c r="F42" s="160">
        <f t="shared" si="7"/>
        <v>25518.72329871168</v>
      </c>
      <c r="G42" s="160">
        <f t="shared" si="7"/>
        <v>20001.39025562377</v>
      </c>
      <c r="H42" s="160">
        <f t="shared" si="7"/>
        <v>200876.12836991943</v>
      </c>
    </row>
    <row r="43" spans="1:11" s="4" customFormat="1" ht="18" customHeight="1" thickBot="1" x14ac:dyDescent="0.4">
      <c r="A43" s="348"/>
      <c r="B43" s="298" t="s">
        <v>76</v>
      </c>
      <c r="C43" s="299">
        <f t="shared" ref="C43:H43" si="8">SUM(C40:C42)</f>
        <v>825948.42834666674</v>
      </c>
      <c r="D43" s="299">
        <f t="shared" si="8"/>
        <v>568261.00738319999</v>
      </c>
      <c r="E43" s="299">
        <f t="shared" si="8"/>
        <v>486209.66274582403</v>
      </c>
      <c r="F43" s="299">
        <f t="shared" si="8"/>
        <v>26218.72329871168</v>
      </c>
      <c r="G43" s="299">
        <f t="shared" si="8"/>
        <v>20701.39025562377</v>
      </c>
      <c r="H43" s="299">
        <f t="shared" si="8"/>
        <v>1927339.2120300261</v>
      </c>
    </row>
    <row r="44" spans="1:11" ht="18" customHeight="1" thickTop="1" x14ac:dyDescent="0.35"/>
    <row r="47" spans="1:11" ht="18" customHeight="1" x14ac:dyDescent="0.35">
      <c r="B47" s="4" t="s">
        <v>77</v>
      </c>
    </row>
    <row r="48" spans="1:11" ht="18" customHeight="1" x14ac:dyDescent="0.35">
      <c r="B48" t="s">
        <v>78</v>
      </c>
      <c r="C48" s="138">
        <f t="shared" ref="C48:G49" si="9">+C5+C13+C25</f>
        <v>552194.80026666669</v>
      </c>
      <c r="D48" s="138">
        <f t="shared" si="9"/>
        <v>381576.71066400001</v>
      </c>
      <c r="E48" s="138">
        <f t="shared" si="9"/>
        <v>333030.37611647998</v>
      </c>
      <c r="F48" s="138">
        <f t="shared" si="9"/>
        <v>21246.325614393601</v>
      </c>
      <c r="G48" s="138">
        <f t="shared" si="9"/>
        <v>17033.377119710593</v>
      </c>
      <c r="H48" s="138">
        <f>SUM(C48:G48)</f>
        <v>1305081.589781251</v>
      </c>
    </row>
    <row r="49" spans="1:9" ht="18" customHeight="1" x14ac:dyDescent="0.35">
      <c r="B49" t="s">
        <v>79</v>
      </c>
      <c r="C49" s="138">
        <f t="shared" si="9"/>
        <v>141053.62807999999</v>
      </c>
      <c r="D49" s="138">
        <f t="shared" si="9"/>
        <v>95184.296719199992</v>
      </c>
      <c r="E49" s="138">
        <f t="shared" si="9"/>
        <v>84979.286629344002</v>
      </c>
      <c r="F49" s="138">
        <f t="shared" si="9"/>
        <v>4272.3976843180799</v>
      </c>
      <c r="G49" s="138">
        <f t="shared" si="9"/>
        <v>2968.0131359131778</v>
      </c>
      <c r="H49" s="138">
        <f>SUM(C49:G49)</f>
        <v>328457.62224877521</v>
      </c>
    </row>
    <row r="51" spans="1:9" ht="18" customHeight="1" x14ac:dyDescent="0.35">
      <c r="B51" t="s">
        <v>80</v>
      </c>
      <c r="C51" s="138">
        <f>+'STAFFING WORKSHEET-YR01 16 MON'!V32</f>
        <v>552193.80026666669</v>
      </c>
      <c r="D51" s="138">
        <f>+'STAFFING WORKSHEET-YR02'!V33</f>
        <v>381576.71066400001</v>
      </c>
      <c r="E51" s="138">
        <f>+'STAFFING WORKSHEET-YR03'!V33</f>
        <v>333030.3761164801</v>
      </c>
      <c r="F51" s="138">
        <f>+'STAFFING WORKSHEET-YR04'!V33</f>
        <v>21246.325614393601</v>
      </c>
      <c r="G51" s="138">
        <f>+'STAFFING WORKSHEET-YR05'!V33</f>
        <v>17033.377119710593</v>
      </c>
      <c r="H51" s="138">
        <f>SUM(C51:G51)</f>
        <v>1305080.5897812513</v>
      </c>
    </row>
    <row r="52" spans="1:9" ht="18" customHeight="1" x14ac:dyDescent="0.35">
      <c r="B52" t="s">
        <v>81</v>
      </c>
      <c r="C52" s="138">
        <f>+'STAFFING WORKSHEET-YR01 16 MON'!V69</f>
        <v>141053.62807999999</v>
      </c>
      <c r="D52" s="138">
        <f>+'STAFFING WORKSHEET-YR02'!V70</f>
        <v>95184.296719200007</v>
      </c>
      <c r="E52" s="138">
        <f>+'STAFFING WORKSHEET-YR03'!V70</f>
        <v>84979.286629344002</v>
      </c>
      <c r="F52" s="138">
        <f>+'STAFFING WORKSHEET-YR04'!V70</f>
        <v>4272.3976843180799</v>
      </c>
      <c r="G52" s="138">
        <f>+'STAFFING WORKSHEET-YR05'!V70</f>
        <v>2968.0131359131778</v>
      </c>
      <c r="H52" s="344">
        <f>SUM(C52:G52)</f>
        <v>328457.62224877527</v>
      </c>
    </row>
    <row r="53" spans="1:9" ht="18" customHeight="1" x14ac:dyDescent="0.35">
      <c r="B53" s="151" t="s">
        <v>82</v>
      </c>
      <c r="C53" s="171">
        <f t="shared" ref="C53:H53" si="10">SUM(C51:C52)</f>
        <v>693247.42834666674</v>
      </c>
      <c r="D53" s="171">
        <f t="shared" si="10"/>
        <v>476761.00738319999</v>
      </c>
      <c r="E53" s="171">
        <f t="shared" si="10"/>
        <v>418009.66274582408</v>
      </c>
      <c r="F53" s="171">
        <f t="shared" si="10"/>
        <v>25518.72329871168</v>
      </c>
      <c r="G53" s="171">
        <f t="shared" si="10"/>
        <v>20001.39025562377</v>
      </c>
      <c r="H53" s="171">
        <f t="shared" si="10"/>
        <v>1633538.2120300266</v>
      </c>
    </row>
    <row r="55" spans="1:9" ht="18" customHeight="1" x14ac:dyDescent="0.35">
      <c r="B55" s="4" t="s">
        <v>83</v>
      </c>
    </row>
    <row r="56" spans="1:9" ht="18" customHeight="1" x14ac:dyDescent="0.35">
      <c r="B56" t="s">
        <v>84</v>
      </c>
      <c r="C56" s="138">
        <f t="shared" ref="C56:H56" si="11">+C34</f>
        <v>825948.42834666662</v>
      </c>
      <c r="D56" s="138">
        <f t="shared" si="11"/>
        <v>568261.00738319999</v>
      </c>
      <c r="E56" s="138">
        <f t="shared" si="11"/>
        <v>486209.66274582397</v>
      </c>
      <c r="F56" s="138">
        <f t="shared" si="11"/>
        <v>26218.72329871168</v>
      </c>
      <c r="G56" s="138">
        <f t="shared" si="11"/>
        <v>20701.39025562377</v>
      </c>
      <c r="H56" s="138">
        <f t="shared" si="11"/>
        <v>1927339.2120300261</v>
      </c>
    </row>
    <row r="57" spans="1:9" ht="18" customHeight="1" x14ac:dyDescent="0.35">
      <c r="B57" t="s">
        <v>85</v>
      </c>
      <c r="C57" s="138">
        <f>-'ORG LEADERSHIP OTHER EXPENSES'!E6-'ORG LEADERSHIP OTHER EXPENSES'!E7-'DIRECT SVCS OTHER EXPENSES'!E7</f>
        <v>-3500</v>
      </c>
      <c r="D57" s="138">
        <f>-'ORG LEADERSHIP OTHER EXPENSES'!I6-'ORG LEADERSHIP OTHER EXPENSES'!I7-'DIRECT SVCS OTHER EXPENSES'!I7</f>
        <v>0</v>
      </c>
      <c r="E57" s="138">
        <f>-'ORG LEADERSHIP OTHER EXPENSES'!M6-'ORG LEADERSHIP OTHER EXPENSES'!M7-'DIRECT SVCS OTHER EXPENSES'!M7</f>
        <v>0</v>
      </c>
      <c r="F57" s="138">
        <f>-'ORG LEADERSHIP OTHER EXPENSES'!Q6-'ORG LEADERSHIP OTHER EXPENSES'!Q7-'DIRECT SVCS OTHER EXPENSES'!Q7</f>
        <v>0</v>
      </c>
      <c r="G57" s="138">
        <f>-'ORG LEADERSHIP OTHER EXPENSES'!U6-'ORG LEADERSHIP OTHER EXPENSES'!U7-'DIRECT SVCS OTHER EXPENSES'!U7</f>
        <v>0</v>
      </c>
      <c r="H57" s="138">
        <f>SUM(C57:G57)</f>
        <v>-3500</v>
      </c>
    </row>
    <row r="58" spans="1:9" ht="18" customHeight="1" x14ac:dyDescent="0.35">
      <c r="A58" s="345" t="s">
        <v>7</v>
      </c>
      <c r="B58" t="s">
        <v>86</v>
      </c>
      <c r="C58" s="138">
        <f>-C70+25000</f>
        <v>-132579.32919999998</v>
      </c>
      <c r="D58" s="138">
        <f>-D70</f>
        <v>-127881.82274000002</v>
      </c>
      <c r="E58" s="138">
        <f>-E70</f>
        <v>-124411.57457184001</v>
      </c>
      <c r="F58" s="138">
        <f>-F70</f>
        <v>-14761.292914368001</v>
      </c>
      <c r="G58" s="138">
        <f>-G70</f>
        <v>-9033.9112635932161</v>
      </c>
      <c r="H58" s="138">
        <f>SUM(C58:G58)</f>
        <v>-408667.93068980123</v>
      </c>
      <c r="I58" s="138"/>
    </row>
    <row r="59" spans="1:9" ht="18" customHeight="1" x14ac:dyDescent="0.35">
      <c r="A59" s="345" t="s">
        <v>9</v>
      </c>
      <c r="B59" t="s">
        <v>86</v>
      </c>
      <c r="C59" s="138">
        <f>-C76+25000</f>
        <v>-153468.81066666666</v>
      </c>
      <c r="D59" s="138">
        <f>-D76</f>
        <v>-136347.71776</v>
      </c>
      <c r="E59" s="138">
        <f>-E76</f>
        <v>-111290.13590720001</v>
      </c>
      <c r="F59" s="138">
        <f>-F76</f>
        <v>0</v>
      </c>
      <c r="G59" s="138">
        <f>-G76</f>
        <v>0</v>
      </c>
      <c r="H59" s="138">
        <f>SUM(C59:G59)</f>
        <v>-401106.66433386662</v>
      </c>
    </row>
    <row r="60" spans="1:9" ht="18" customHeight="1" x14ac:dyDescent="0.35">
      <c r="A60" s="345" t="s">
        <v>11</v>
      </c>
      <c r="B60" t="s">
        <v>86</v>
      </c>
      <c r="C60" s="138">
        <f>-C78+25000</f>
        <v>-71687.5</v>
      </c>
      <c r="D60" s="138">
        <f>-D78</f>
        <v>-59670</v>
      </c>
      <c r="E60" s="138">
        <f>-E78</f>
        <v>-45647.55</v>
      </c>
      <c r="F60" s="138">
        <f>-F78</f>
        <v>0</v>
      </c>
      <c r="G60" s="138">
        <f>-G78</f>
        <v>0</v>
      </c>
      <c r="H60" s="138">
        <f>SUM(C60:G60)</f>
        <v>-177005.05</v>
      </c>
    </row>
    <row r="61" spans="1:9" ht="18" customHeight="1" x14ac:dyDescent="0.35">
      <c r="A61" s="345" t="s">
        <v>13</v>
      </c>
      <c r="B61" t="s">
        <v>86</v>
      </c>
      <c r="C61" s="138">
        <f>-C82+25000</f>
        <v>-82887.5</v>
      </c>
      <c r="D61" s="138">
        <f>-D82</f>
        <v>-70870</v>
      </c>
      <c r="E61" s="138">
        <f>-E82</f>
        <v>-56847.55</v>
      </c>
      <c r="F61" s="138">
        <f>-F82</f>
        <v>0</v>
      </c>
      <c r="G61" s="138">
        <f>-G82</f>
        <v>0</v>
      </c>
      <c r="H61" s="138">
        <f>SUM(C61:G61)</f>
        <v>-210605.05</v>
      </c>
    </row>
    <row r="62" spans="1:9" ht="18" customHeight="1" x14ac:dyDescent="0.35">
      <c r="B62" s="151" t="s">
        <v>87</v>
      </c>
      <c r="C62" s="171">
        <f t="shared" ref="C62:H62" si="12">SUM(C56:C61)</f>
        <v>381825.2884800001</v>
      </c>
      <c r="D62" s="171">
        <f t="shared" si="12"/>
        <v>173491.46688319999</v>
      </c>
      <c r="E62" s="171">
        <f t="shared" si="12"/>
        <v>148012.852266784</v>
      </c>
      <c r="F62" s="171">
        <f t="shared" si="12"/>
        <v>11457.430384343679</v>
      </c>
      <c r="G62" s="171">
        <f t="shared" si="12"/>
        <v>11667.478992030554</v>
      </c>
      <c r="H62" s="171">
        <f t="shared" si="12"/>
        <v>726454.51700635813</v>
      </c>
      <c r="I62" s="138"/>
    </row>
    <row r="63" spans="1:9" s="359" customFormat="1" ht="18" customHeight="1" x14ac:dyDescent="0.35">
      <c r="A63" s="355" t="s">
        <v>1</v>
      </c>
      <c r="B63" s="356" t="s">
        <v>88</v>
      </c>
      <c r="C63" s="357">
        <f t="shared" ref="C63:H63" si="13">+C62*0.1</f>
        <v>38182.528848000009</v>
      </c>
      <c r="D63" s="357">
        <f t="shared" si="13"/>
        <v>17349.146688320001</v>
      </c>
      <c r="E63" s="357">
        <f t="shared" si="13"/>
        <v>14801.285226678401</v>
      </c>
      <c r="F63" s="357">
        <f t="shared" si="13"/>
        <v>1145.7430384343679</v>
      </c>
      <c r="G63" s="357">
        <f t="shared" si="13"/>
        <v>1166.7478992030553</v>
      </c>
      <c r="H63" s="357">
        <f t="shared" si="13"/>
        <v>72645.451700635822</v>
      </c>
    </row>
    <row r="64" spans="1:9" ht="18" customHeight="1" x14ac:dyDescent="0.35">
      <c r="H64" s="138"/>
    </row>
    <row r="65" spans="1:9" ht="18" customHeight="1" x14ac:dyDescent="0.35">
      <c r="B65" s="4" t="s">
        <v>89</v>
      </c>
      <c r="H65" s="138"/>
    </row>
    <row r="66" spans="1:9" ht="18" customHeight="1" x14ac:dyDescent="0.35">
      <c r="A66" s="345" t="s">
        <v>7</v>
      </c>
      <c r="B66" t="s">
        <v>90</v>
      </c>
      <c r="C66" s="138">
        <f>'STAFFING WORKSHEET-YR01 16 MON'!V74</f>
        <v>155479.32919999998</v>
      </c>
      <c r="D66" s="138">
        <f>+'STAFFING WORKSHEET-YR02'!V75</f>
        <v>126481.82274000002</v>
      </c>
      <c r="E66" s="138">
        <f>+'STAFFING WORKSHEET-YR03'!V75</f>
        <v>123511.57457184001</v>
      </c>
      <c r="F66" s="138">
        <f>+'STAFFING WORKSHEET-YR04'!V75</f>
        <v>14761.292914368001</v>
      </c>
      <c r="G66" s="138">
        <f>+'STAFFING WORKSHEET-YR05'!V75</f>
        <v>9033.9112635932161</v>
      </c>
      <c r="H66" s="242">
        <f>SUM(C66:G66)</f>
        <v>429267.93068980123</v>
      </c>
      <c r="I66" s="46" t="s">
        <v>91</v>
      </c>
    </row>
    <row r="67" spans="1:9" ht="18" customHeight="1" x14ac:dyDescent="0.35">
      <c r="A67" s="345" t="s">
        <v>7</v>
      </c>
      <c r="B67" s="367" t="s">
        <v>92</v>
      </c>
      <c r="C67" s="368">
        <f>+'ORG LEADERSHIP OTHER EXPENSES'!C8+'ORG LEADERSHIP OTHER EXPENSES'!E20</f>
        <v>2100</v>
      </c>
      <c r="D67" s="368">
        <f>+'ORG LEADERSHIP OTHER EXPENSES'!G8+'ORG LEADERSHIP OTHER EXPENSES'!I20</f>
        <v>1400</v>
      </c>
      <c r="E67" s="368">
        <f>+'ORG LEADERSHIP OTHER EXPENSES'!K8+'ORG LEADERSHIP OTHER EXPENSES'!M20</f>
        <v>900</v>
      </c>
      <c r="F67" s="368">
        <f>+'ORG LEADERSHIP OTHER EXPENSES'!O8+'ORG LEADERSHIP OTHER EXPENSES'!Q20</f>
        <v>0</v>
      </c>
      <c r="G67" s="368">
        <f>+'ORG LEADERSHIP OTHER EXPENSES'!S8+'ORG LEADERSHIP OTHER EXPENSES'!U20</f>
        <v>0</v>
      </c>
      <c r="H67" s="368">
        <f>SUM(C67:G67)</f>
        <v>4400</v>
      </c>
    </row>
    <row r="68" spans="1:9" ht="18" customHeight="1" x14ac:dyDescent="0.35">
      <c r="A68" s="345" t="s">
        <v>7</v>
      </c>
      <c r="B68" t="s">
        <v>93</v>
      </c>
      <c r="C68" s="138">
        <f t="shared" ref="C68:H68" si="14">SUM(C66:C67)</f>
        <v>157579.32919999998</v>
      </c>
      <c r="D68" s="138">
        <f t="shared" si="14"/>
        <v>127881.82274000002</v>
      </c>
      <c r="E68" s="138">
        <f t="shared" si="14"/>
        <v>124411.57457184001</v>
      </c>
      <c r="F68" s="138">
        <f t="shared" si="14"/>
        <v>14761.292914368001</v>
      </c>
      <c r="G68" s="138">
        <f t="shared" si="14"/>
        <v>9033.9112635932161</v>
      </c>
      <c r="H68" s="138">
        <f t="shared" si="14"/>
        <v>433667.93068980123</v>
      </c>
    </row>
    <row r="69" spans="1:9" ht="18" customHeight="1" x14ac:dyDescent="0.35">
      <c r="A69" s="353"/>
      <c r="B69" t="s">
        <v>94</v>
      </c>
      <c r="H69" s="138">
        <f>SUM(C69:G69)</f>
        <v>0</v>
      </c>
    </row>
    <row r="70" spans="1:9" s="4" customFormat="1" ht="18" customHeight="1" x14ac:dyDescent="0.35">
      <c r="A70" s="369" t="s">
        <v>7</v>
      </c>
      <c r="B70" s="370" t="s">
        <v>95</v>
      </c>
      <c r="C70" s="371">
        <f t="shared" ref="C70:H70" si="15">SUM(C68:C69)</f>
        <v>157579.32919999998</v>
      </c>
      <c r="D70" s="371">
        <f t="shared" si="15"/>
        <v>127881.82274000002</v>
      </c>
      <c r="E70" s="371">
        <f t="shared" si="15"/>
        <v>124411.57457184001</v>
      </c>
      <c r="F70" s="371">
        <f t="shared" si="15"/>
        <v>14761.292914368001</v>
      </c>
      <c r="G70" s="371">
        <f t="shared" si="15"/>
        <v>9033.9112635932161</v>
      </c>
      <c r="H70" s="371">
        <f t="shared" si="15"/>
        <v>433667.93068980123</v>
      </c>
      <c r="I70" s="139">
        <f>+H70-25000</f>
        <v>408667.93068980123</v>
      </c>
    </row>
    <row r="71" spans="1:9" ht="18" customHeight="1" x14ac:dyDescent="0.35">
      <c r="H71" s="138"/>
    </row>
    <row r="72" spans="1:9" ht="18" customHeight="1" x14ac:dyDescent="0.35">
      <c r="A72" s="345" t="s">
        <v>9</v>
      </c>
      <c r="B72" t="s">
        <v>90</v>
      </c>
      <c r="C72" s="138">
        <f>'STAFFING WORKSHEET-YR01 16 MON'!V75</f>
        <v>176368.81066666666</v>
      </c>
      <c r="D72" s="138">
        <f>+'STAFFING WORKSHEET-YR02'!V76</f>
        <v>134447.71776</v>
      </c>
      <c r="E72" s="138">
        <f>+'STAFFING WORKSHEET-YR03'!V76</f>
        <v>109890.13590720001</v>
      </c>
      <c r="F72" s="138">
        <f>+'STAFFING WORKSHEET-YR04'!V76</f>
        <v>0</v>
      </c>
      <c r="G72" s="138">
        <f>+'STAFFING WORKSHEET-YR05'!V76</f>
        <v>0</v>
      </c>
      <c r="H72" s="242">
        <f>SUM(C72:G72)</f>
        <v>420706.66433386662</v>
      </c>
      <c r="I72" s="46" t="s">
        <v>91</v>
      </c>
    </row>
    <row r="73" spans="1:9" ht="18" customHeight="1" x14ac:dyDescent="0.35">
      <c r="A73" s="345" t="s">
        <v>9</v>
      </c>
      <c r="B73" s="367" t="s">
        <v>92</v>
      </c>
      <c r="C73" s="368">
        <f>+'ORG LEADERSHIP OTHER EXPENSES'!D8+'ORG LEADERSHIP OTHER EXPENSES'!E21</f>
        <v>2100</v>
      </c>
      <c r="D73" s="368">
        <f>+'ORG LEADERSHIP OTHER EXPENSES'!H8+'ORG LEADERSHIP OTHER EXPENSES'!I21+'ORG LEADERSHIP OTHER EXPENSES'!I22</f>
        <v>1900</v>
      </c>
      <c r="E73" s="368">
        <f>+'ORG LEADERSHIP OTHER EXPENSES'!L8+'ORG LEADERSHIP OTHER EXPENSES'!M21+'ORG LEADERSHIP OTHER EXPENSES'!M22</f>
        <v>1400</v>
      </c>
      <c r="F73" s="368">
        <f>+'ORG LEADERSHIP OTHER EXPENSES'!P8+'ORG LEADERSHIP OTHER EXPENSES'!Q21+'ORG LEADERSHIP OTHER EXPENSES'!Q22</f>
        <v>0</v>
      </c>
      <c r="G73" s="368">
        <f>+'ORG LEADERSHIP OTHER EXPENSES'!T8+'ORG LEADERSHIP OTHER EXPENSES'!U21+'ORG LEADERSHIP OTHER EXPENSES'!U22</f>
        <v>0</v>
      </c>
      <c r="H73" s="368">
        <f>SUM(C73:G73)</f>
        <v>5400</v>
      </c>
    </row>
    <row r="74" spans="1:9" ht="18" customHeight="1" x14ac:dyDescent="0.35">
      <c r="A74" s="345" t="s">
        <v>9</v>
      </c>
      <c r="B74" t="s">
        <v>93</v>
      </c>
      <c r="C74" s="138">
        <f t="shared" ref="C74:H74" si="16">SUM(C72:C73)</f>
        <v>178468.81066666666</v>
      </c>
      <c r="D74" s="138">
        <f t="shared" si="16"/>
        <v>136347.71776</v>
      </c>
      <c r="E74" s="138">
        <f t="shared" si="16"/>
        <v>111290.13590720001</v>
      </c>
      <c r="F74" s="138">
        <f t="shared" si="16"/>
        <v>0</v>
      </c>
      <c r="G74" s="138">
        <f t="shared" si="16"/>
        <v>0</v>
      </c>
      <c r="H74" s="138">
        <f t="shared" si="16"/>
        <v>426106.66433386662</v>
      </c>
    </row>
    <row r="75" spans="1:9" ht="18" customHeight="1" x14ac:dyDescent="0.35">
      <c r="A75" s="353"/>
      <c r="B75" t="s">
        <v>94</v>
      </c>
      <c r="H75" s="138"/>
    </row>
    <row r="76" spans="1:9" s="4" customFormat="1" ht="18" customHeight="1" x14ac:dyDescent="0.35">
      <c r="A76" s="369" t="s">
        <v>9</v>
      </c>
      <c r="B76" s="370" t="s">
        <v>95</v>
      </c>
      <c r="C76" s="371">
        <f t="shared" ref="C76:H76" si="17">SUM(C74:C75)</f>
        <v>178468.81066666666</v>
      </c>
      <c r="D76" s="371">
        <f t="shared" si="17"/>
        <v>136347.71776</v>
      </c>
      <c r="E76" s="371">
        <f t="shared" si="17"/>
        <v>111290.13590720001</v>
      </c>
      <c r="F76" s="371">
        <f t="shared" si="17"/>
        <v>0</v>
      </c>
      <c r="G76" s="371">
        <f t="shared" si="17"/>
        <v>0</v>
      </c>
      <c r="H76" s="371">
        <f t="shared" si="17"/>
        <v>426106.66433386662</v>
      </c>
      <c r="I76" s="139">
        <f>+H76-25000</f>
        <v>401106.66433386662</v>
      </c>
    </row>
    <row r="78" spans="1:9" s="4" customFormat="1" ht="18" customHeight="1" x14ac:dyDescent="0.35">
      <c r="A78" s="369" t="s">
        <v>11</v>
      </c>
      <c r="B78" s="370" t="s">
        <v>96</v>
      </c>
      <c r="C78" s="371">
        <f>'STAFFING WORKSHEET-YR01 16 MON'!V76</f>
        <v>96687.5</v>
      </c>
      <c r="D78" s="371">
        <f>+'STAFFING WORKSHEET-YR02'!V77</f>
        <v>59670</v>
      </c>
      <c r="E78" s="371">
        <f>+'STAFFING WORKSHEET-YR03'!V77</f>
        <v>45647.55</v>
      </c>
      <c r="F78" s="371">
        <f>+'STAFFING WORKSHEET-YR04'!V77</f>
        <v>0</v>
      </c>
      <c r="G78" s="371">
        <f>+'STAFFING WORKSHEET-YR05'!V77</f>
        <v>0</v>
      </c>
      <c r="H78" s="371">
        <f>SUM(C78:G78)</f>
        <v>202005.05</v>
      </c>
      <c r="I78" s="139">
        <f>+H78-25000</f>
        <v>177005.05</v>
      </c>
    </row>
    <row r="80" spans="1:9" s="4" customFormat="1" ht="18" customHeight="1" x14ac:dyDescent="0.35">
      <c r="A80" s="348" t="s">
        <v>13</v>
      </c>
      <c r="B80" s="4" t="s">
        <v>96</v>
      </c>
      <c r="C80" s="138">
        <f>'STAFFING WORKSHEET-YR01 16 MON'!V77</f>
        <v>96687.5</v>
      </c>
      <c r="D80" s="138">
        <f>+'STAFFING WORKSHEET-YR02'!V78</f>
        <v>59670</v>
      </c>
      <c r="E80" s="138">
        <f>+'STAFFING WORKSHEET-YR03'!V78</f>
        <v>45647.55</v>
      </c>
      <c r="F80" s="138">
        <f>+'STAFFING WORKSHEET-YR04'!V78</f>
        <v>0</v>
      </c>
      <c r="G80" s="138">
        <f>+'STAFFING WORKSHEET-YR05'!V78</f>
        <v>0</v>
      </c>
      <c r="H80" s="139">
        <f>SUM(C80:G80)</f>
        <v>202005.05</v>
      </c>
      <c r="I80" s="139"/>
    </row>
    <row r="81" spans="1:9" s="4" customFormat="1" ht="18" customHeight="1" x14ac:dyDescent="0.35">
      <c r="A81" s="348"/>
      <c r="B81" s="4" t="s">
        <v>57</v>
      </c>
      <c r="C81" s="138">
        <f>+'DIRECT SVCS OTHER EXPENSES'!E92</f>
        <v>11200</v>
      </c>
      <c r="D81" s="138">
        <f>+'DIRECT SVCS OTHER EXPENSES'!I92</f>
        <v>11200</v>
      </c>
      <c r="E81" s="138">
        <f>+'DIRECT SVCS OTHER EXPENSES'!M92</f>
        <v>11200</v>
      </c>
      <c r="F81" s="138">
        <f>+'DIRECT SVCS OTHER EXPENSES'!Q92</f>
        <v>0</v>
      </c>
      <c r="G81" s="138">
        <f>+'DIRECT SVCS OTHER EXPENSES'!U92</f>
        <v>0</v>
      </c>
      <c r="H81" s="139">
        <f>SUM(C81:G81)</f>
        <v>33600</v>
      </c>
    </row>
    <row r="82" spans="1:9" s="4" customFormat="1" ht="18" customHeight="1" x14ac:dyDescent="0.35">
      <c r="A82" s="369" t="s">
        <v>13</v>
      </c>
      <c r="B82" s="370" t="s">
        <v>95</v>
      </c>
      <c r="C82" s="371">
        <f t="shared" ref="C82:H82" si="18">SUM(C80:C81)</f>
        <v>107887.5</v>
      </c>
      <c r="D82" s="371">
        <f t="shared" si="18"/>
        <v>70870</v>
      </c>
      <c r="E82" s="371">
        <f t="shared" si="18"/>
        <v>56847.55</v>
      </c>
      <c r="F82" s="371">
        <f t="shared" si="18"/>
        <v>0</v>
      </c>
      <c r="G82" s="371">
        <f t="shared" si="18"/>
        <v>0</v>
      </c>
      <c r="H82" s="371">
        <f t="shared" si="18"/>
        <v>235605.05</v>
      </c>
      <c r="I82" s="139">
        <f>+H82-25000</f>
        <v>210605.05</v>
      </c>
    </row>
    <row r="85" spans="1:9" ht="18" customHeight="1" x14ac:dyDescent="0.35">
      <c r="A85" s="345" t="s">
        <v>1</v>
      </c>
      <c r="B85" t="s">
        <v>97</v>
      </c>
      <c r="C85" s="138">
        <f>+'STAFFING WORKSHEET-YR01 16 MON'!V73</f>
        <v>168024.28847999999</v>
      </c>
      <c r="D85" s="138">
        <f>+'STAFFING WORKSHEET-YR02'!V74</f>
        <v>96491.466883199988</v>
      </c>
      <c r="E85" s="138">
        <f>+'STAFFING WORKSHEET-YR03'!V74</f>
        <v>93312.852266784001</v>
      </c>
      <c r="F85" s="138">
        <f>+'STAFFING WORKSHEET-YR04'!V74</f>
        <v>10757.430384343679</v>
      </c>
      <c r="G85" s="138">
        <f>+'STAFFING WORKSHEET-YR05'!V74</f>
        <v>10967.478992030554</v>
      </c>
      <c r="H85" s="242">
        <f>SUM(C85:G85)</f>
        <v>379553.51700635819</v>
      </c>
      <c r="I85" s="46" t="s">
        <v>91</v>
      </c>
    </row>
    <row r="86" spans="1:9" ht="18" customHeight="1" x14ac:dyDescent="0.35">
      <c r="B86" t="s">
        <v>98</v>
      </c>
      <c r="C86" s="138">
        <f>+C66+C72+C78+C80</f>
        <v>525223.13986666664</v>
      </c>
      <c r="D86" s="138">
        <f>+D66+D72+D78+D80</f>
        <v>380269.5405</v>
      </c>
      <c r="E86" s="138">
        <f>+E66+E72+E78+E80</f>
        <v>324696.81047904002</v>
      </c>
      <c r="F86" s="138">
        <f>+F66+F72+F78+F80</f>
        <v>14761.292914368001</v>
      </c>
      <c r="G86" s="138">
        <f>+G66+G72+G78+G80</f>
        <v>9033.9112635932161</v>
      </c>
      <c r="H86" s="138">
        <f>SUM(C86:G86)</f>
        <v>1253984.695023668</v>
      </c>
    </row>
    <row r="87" spans="1:9" ht="18" customHeight="1" x14ac:dyDescent="0.35">
      <c r="A87" s="352"/>
      <c r="B87" s="354" t="s">
        <v>99</v>
      </c>
      <c r="C87" s="171">
        <f t="shared" ref="C87:H87" si="19">SUM(C85:C86)</f>
        <v>693247.42834666662</v>
      </c>
      <c r="D87" s="171">
        <f t="shared" si="19"/>
        <v>476761.00738319999</v>
      </c>
      <c r="E87" s="171">
        <f t="shared" si="19"/>
        <v>418009.66274582403</v>
      </c>
      <c r="F87" s="171">
        <f t="shared" si="19"/>
        <v>25518.72329871168</v>
      </c>
      <c r="G87" s="171">
        <f t="shared" si="19"/>
        <v>20001.39025562377</v>
      </c>
      <c r="H87" s="171">
        <f t="shared" si="19"/>
        <v>1633538.2120300261</v>
      </c>
    </row>
    <row r="88" spans="1:9" ht="18" customHeight="1" x14ac:dyDescent="0.35">
      <c r="C88" s="138">
        <f t="shared" ref="C88:H88" si="20">+C53</f>
        <v>693247.42834666674</v>
      </c>
      <c r="D88" s="138">
        <f t="shared" si="20"/>
        <v>476761.00738319999</v>
      </c>
      <c r="E88" s="138">
        <f t="shared" si="20"/>
        <v>418009.66274582408</v>
      </c>
      <c r="F88" s="138">
        <f t="shared" si="20"/>
        <v>25518.72329871168</v>
      </c>
      <c r="G88" s="138">
        <f t="shared" si="20"/>
        <v>20001.39025562377</v>
      </c>
      <c r="H88" s="138">
        <f t="shared" si="20"/>
        <v>1633538.2120300266</v>
      </c>
    </row>
    <row r="89" spans="1:9" ht="18" customHeight="1" x14ac:dyDescent="0.35">
      <c r="C89" s="138">
        <f t="shared" ref="C89:H89" si="21">+C87-C88</f>
        <v>0</v>
      </c>
      <c r="D89" s="138">
        <f t="shared" si="21"/>
        <v>0</v>
      </c>
      <c r="E89" s="138">
        <f t="shared" si="21"/>
        <v>0</v>
      </c>
      <c r="F89" s="138">
        <f t="shared" si="21"/>
        <v>0</v>
      </c>
      <c r="G89" s="138">
        <f t="shared" si="21"/>
        <v>0</v>
      </c>
      <c r="H89" s="138">
        <f t="shared" si="21"/>
        <v>0</v>
      </c>
    </row>
  </sheetData>
  <pageMargins left="0.17" right="0.23" top="0.33" bottom="0.19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B81"/>
  <sheetViews>
    <sheetView workbookViewId="0">
      <selection activeCell="L69" sqref="L69"/>
    </sheetView>
  </sheetViews>
  <sheetFormatPr defaultColWidth="9.1796875" defaultRowHeight="13" x14ac:dyDescent="0.3"/>
  <cols>
    <col min="1" max="1" width="5.7265625" style="400" customWidth="1"/>
    <col min="2" max="2" width="4.54296875" style="400" customWidth="1"/>
    <col min="3" max="3" width="14.453125" style="400" customWidth="1"/>
    <col min="4" max="4" width="19.26953125" style="400" customWidth="1"/>
    <col min="5" max="5" width="5.7265625" style="409" customWidth="1"/>
    <col min="6" max="6" width="5.7265625" style="426" customWidth="1"/>
    <col min="7" max="7" width="11.81640625" style="443" customWidth="1"/>
    <col min="8" max="8" width="12" style="427" customWidth="1"/>
    <col min="9" max="9" width="6.453125" style="407" customWidth="1"/>
    <col min="10" max="10" width="10.7265625" style="408" customWidth="1"/>
    <col min="11" max="11" width="5.81640625" style="409" customWidth="1"/>
    <col min="12" max="12" width="11" style="408" customWidth="1"/>
    <col min="13" max="13" width="6.453125" style="407" customWidth="1"/>
    <col min="14" max="14" width="11.1796875" style="408" customWidth="1"/>
    <col min="15" max="15" width="5.81640625" style="409" customWidth="1"/>
    <col min="16" max="16" width="11" style="408" customWidth="1"/>
    <col min="17" max="17" width="7" style="407" customWidth="1"/>
    <col min="18" max="18" width="11.1796875" style="408" customWidth="1"/>
    <col min="19" max="19" width="5.81640625" style="409" customWidth="1"/>
    <col min="20" max="20" width="11" style="408" customWidth="1"/>
    <col min="21" max="21" width="7" style="407" customWidth="1"/>
    <col min="22" max="22" width="12.7265625" style="408" customWidth="1"/>
    <col min="23" max="23" width="5.81640625" style="409" customWidth="1"/>
    <col min="24" max="24" width="11" style="408" customWidth="1"/>
    <col min="25" max="25" width="6.54296875" style="411" customWidth="1"/>
    <col min="26" max="26" width="10.1796875" style="428" bestFit="1" customWidth="1"/>
    <col min="27" max="27" width="6.26953125" style="403" customWidth="1"/>
    <col min="28" max="28" width="9.1796875" style="400" customWidth="1"/>
    <col min="29" max="29" width="4.54296875" style="400" bestFit="1" customWidth="1"/>
    <col min="30" max="16384" width="9.1796875" style="400"/>
  </cols>
  <sheetData>
    <row r="1" spans="1:27" x14ac:dyDescent="0.3">
      <c r="A1" s="399" t="s">
        <v>100</v>
      </c>
      <c r="G1" s="399" t="s">
        <v>101</v>
      </c>
    </row>
    <row r="2" spans="1:27" x14ac:dyDescent="0.3">
      <c r="C2" s="429" t="s">
        <v>102</v>
      </c>
      <c r="D2" s="400" t="s">
        <v>103</v>
      </c>
      <c r="E2" s="584" t="s">
        <v>104</v>
      </c>
      <c r="F2" s="584"/>
      <c r="G2" s="584"/>
      <c r="H2" s="584"/>
      <c r="I2" s="585" t="s">
        <v>105</v>
      </c>
      <c r="J2" s="586"/>
      <c r="K2" s="586"/>
      <c r="L2" s="586"/>
      <c r="M2" s="587" t="s">
        <v>106</v>
      </c>
      <c r="N2" s="588"/>
      <c r="O2" s="588"/>
      <c r="P2" s="588"/>
      <c r="Q2" s="589" t="s">
        <v>107</v>
      </c>
      <c r="R2" s="590"/>
      <c r="S2" s="590"/>
      <c r="T2" s="590"/>
      <c r="U2" s="591" t="s">
        <v>108</v>
      </c>
      <c r="V2" s="592"/>
      <c r="W2" s="592"/>
      <c r="X2" s="592"/>
      <c r="Y2" s="592"/>
      <c r="Z2" s="592"/>
    </row>
    <row r="3" spans="1:27" s="399" customFormat="1" x14ac:dyDescent="0.3">
      <c r="B3" s="400"/>
      <c r="E3" s="430"/>
      <c r="F3" s="431"/>
      <c r="G3" s="432" t="s">
        <v>109</v>
      </c>
      <c r="H3" s="433"/>
      <c r="I3" s="583" t="s">
        <v>110</v>
      </c>
      <c r="J3" s="584"/>
      <c r="K3" s="584" t="s">
        <v>111</v>
      </c>
      <c r="L3" s="584"/>
      <c r="M3" s="583" t="s">
        <v>110</v>
      </c>
      <c r="N3" s="584"/>
      <c r="O3" s="584" t="s">
        <v>111</v>
      </c>
      <c r="P3" s="584"/>
      <c r="Q3" s="583" t="s">
        <v>110</v>
      </c>
      <c r="R3" s="584"/>
      <c r="S3" s="584" t="s">
        <v>111</v>
      </c>
      <c r="T3" s="584"/>
      <c r="U3" s="583" t="s">
        <v>110</v>
      </c>
      <c r="V3" s="584"/>
      <c r="W3" s="584" t="s">
        <v>111</v>
      </c>
      <c r="X3" s="584"/>
      <c r="Y3" s="434" t="s">
        <v>112</v>
      </c>
      <c r="Z3" s="435"/>
      <c r="AA3" s="425" t="s">
        <v>113</v>
      </c>
    </row>
    <row r="4" spans="1:27" s="401" customFormat="1" x14ac:dyDescent="0.3">
      <c r="A4" s="401" t="s">
        <v>114</v>
      </c>
      <c r="B4" s="402" t="s">
        <v>115</v>
      </c>
      <c r="C4" s="401" t="s">
        <v>116</v>
      </c>
      <c r="D4" s="401" t="s">
        <v>117</v>
      </c>
      <c r="E4" s="436" t="s">
        <v>118</v>
      </c>
      <c r="F4" s="437" t="s">
        <v>119</v>
      </c>
      <c r="G4" s="438" t="s">
        <v>120</v>
      </c>
      <c r="H4" s="439" t="s">
        <v>121</v>
      </c>
      <c r="I4" s="440" t="s">
        <v>118</v>
      </c>
      <c r="J4" s="441" t="s">
        <v>122</v>
      </c>
      <c r="K4" s="436" t="s">
        <v>118</v>
      </c>
      <c r="L4" s="441" t="s">
        <v>122</v>
      </c>
      <c r="M4" s="440" t="s">
        <v>118</v>
      </c>
      <c r="N4" s="441" t="s">
        <v>122</v>
      </c>
      <c r="O4" s="436" t="s">
        <v>118</v>
      </c>
      <c r="P4" s="441" t="s">
        <v>122</v>
      </c>
      <c r="Q4" s="440" t="s">
        <v>118</v>
      </c>
      <c r="R4" s="441" t="s">
        <v>122</v>
      </c>
      <c r="S4" s="436" t="s">
        <v>118</v>
      </c>
      <c r="T4" s="441" t="s">
        <v>122</v>
      </c>
      <c r="U4" s="440" t="s">
        <v>118</v>
      </c>
      <c r="V4" s="441" t="s">
        <v>122</v>
      </c>
      <c r="W4" s="436" t="s">
        <v>118</v>
      </c>
      <c r="X4" s="441" t="s">
        <v>122</v>
      </c>
      <c r="Y4" s="436" t="s">
        <v>118</v>
      </c>
      <c r="Z4" s="441" t="s">
        <v>122</v>
      </c>
      <c r="AA4" s="442" t="s">
        <v>123</v>
      </c>
    </row>
    <row r="5" spans="1:27" s="513" customFormat="1" ht="18" customHeight="1" x14ac:dyDescent="0.3">
      <c r="A5" s="513" t="s">
        <v>1</v>
      </c>
      <c r="B5" s="513" t="s">
        <v>16</v>
      </c>
      <c r="C5" s="513" t="s">
        <v>124</v>
      </c>
      <c r="D5" s="513" t="s">
        <v>125</v>
      </c>
      <c r="E5" s="514">
        <v>0.25</v>
      </c>
      <c r="F5" s="515">
        <v>16</v>
      </c>
      <c r="G5" s="516">
        <v>6295.34</v>
      </c>
      <c r="H5" s="517">
        <f>+E5*F5*G5</f>
        <v>25181.360000000001</v>
      </c>
      <c r="I5" s="518">
        <v>0.2</v>
      </c>
      <c r="J5" s="519">
        <f>+I5/E5*H5</f>
        <v>20145.088000000003</v>
      </c>
      <c r="K5" s="514">
        <v>0.05</v>
      </c>
      <c r="L5" s="519">
        <f>+K5/E5*H5</f>
        <v>5036.2720000000008</v>
      </c>
      <c r="M5" s="518"/>
      <c r="N5" s="519"/>
      <c r="O5" s="514"/>
      <c r="P5" s="519"/>
      <c r="Q5" s="518"/>
      <c r="R5" s="519"/>
      <c r="S5" s="514"/>
      <c r="T5" s="519"/>
      <c r="U5" s="518">
        <f>+I5+M5+Q5</f>
        <v>0.2</v>
      </c>
      <c r="V5" s="519">
        <f>+J5+N5+R5</f>
        <v>20145.088000000003</v>
      </c>
      <c r="W5" s="514">
        <f>+K5+O5+S5</f>
        <v>0.05</v>
      </c>
      <c r="X5" s="519">
        <f>+L5+P5+T5</f>
        <v>5036.2720000000008</v>
      </c>
      <c r="Y5" s="520">
        <f>+U5+W5</f>
        <v>0.25</v>
      </c>
      <c r="Z5" s="521">
        <f>+V5+X5</f>
        <v>25181.360000000004</v>
      </c>
      <c r="AA5" s="513" t="str">
        <f>IF(H5=Z5,"TRUE","FALSE")</f>
        <v>TRUE</v>
      </c>
    </row>
    <row r="6" spans="1:27" s="513" customFormat="1" ht="18" customHeight="1" x14ac:dyDescent="0.3">
      <c r="A6" s="513" t="s">
        <v>7</v>
      </c>
      <c r="B6" s="513" t="s">
        <v>16</v>
      </c>
      <c r="C6" s="513" t="s">
        <v>126</v>
      </c>
      <c r="D6" s="513" t="s">
        <v>127</v>
      </c>
      <c r="E6" s="514">
        <v>0.25</v>
      </c>
      <c r="F6" s="515">
        <v>16</v>
      </c>
      <c r="G6" s="516">
        <v>6777.33</v>
      </c>
      <c r="H6" s="517">
        <f t="shared" ref="H6:H28" si="0">+E6*F6*G6</f>
        <v>27109.32</v>
      </c>
      <c r="I6" s="518">
        <v>0.2</v>
      </c>
      <c r="J6" s="519">
        <f t="shared" ref="J6:J15" si="1">+I6/E6*H6</f>
        <v>21687.456000000002</v>
      </c>
      <c r="K6" s="514">
        <v>0.05</v>
      </c>
      <c r="L6" s="519">
        <f t="shared" ref="L6:L15" si="2">+K6/E6*H6</f>
        <v>5421.8640000000005</v>
      </c>
      <c r="M6" s="518"/>
      <c r="N6" s="519"/>
      <c r="O6" s="514"/>
      <c r="P6" s="519"/>
      <c r="Q6" s="518"/>
      <c r="R6" s="519"/>
      <c r="S6" s="514"/>
      <c r="T6" s="519"/>
      <c r="U6" s="518">
        <f t="shared" ref="U6:U16" si="3">+I6+M6+Q6</f>
        <v>0.2</v>
      </c>
      <c r="V6" s="519">
        <f t="shared" ref="V6:V16" si="4">+J6+N6+R6</f>
        <v>21687.456000000002</v>
      </c>
      <c r="W6" s="514">
        <f t="shared" ref="W6:W16" si="5">+K6+O6+S6</f>
        <v>0.05</v>
      </c>
      <c r="X6" s="519">
        <f t="shared" ref="X6:X16" si="6">+L6+P6+T6</f>
        <v>5421.8640000000005</v>
      </c>
      <c r="Y6" s="520">
        <f t="shared" ref="Y6:Y16" si="7">+U6+W6</f>
        <v>0.25</v>
      </c>
      <c r="Z6" s="521">
        <f t="shared" ref="Z6:Z16" si="8">+V6+X6</f>
        <v>27109.320000000003</v>
      </c>
      <c r="AA6" s="513" t="str">
        <f t="shared" ref="AA6:AA16" si="9">IF(H6=Z6,"TRUE","FALSE")</f>
        <v>TRUE</v>
      </c>
    </row>
    <row r="7" spans="1:27" s="513" customFormat="1" ht="18" customHeight="1" x14ac:dyDescent="0.3">
      <c r="A7" s="513" t="s">
        <v>9</v>
      </c>
      <c r="B7" s="513" t="s">
        <v>16</v>
      </c>
      <c r="C7" s="513" t="s">
        <v>128</v>
      </c>
      <c r="D7" s="513" t="s">
        <v>127</v>
      </c>
      <c r="E7" s="514">
        <v>0.2</v>
      </c>
      <c r="F7" s="515">
        <v>16</v>
      </c>
      <c r="G7" s="516">
        <v>7473.5</v>
      </c>
      <c r="H7" s="517">
        <f t="shared" si="0"/>
        <v>23915.200000000001</v>
      </c>
      <c r="I7" s="518">
        <v>0.15</v>
      </c>
      <c r="J7" s="519">
        <f t="shared" si="1"/>
        <v>17936.399999999998</v>
      </c>
      <c r="K7" s="514">
        <v>0.05</v>
      </c>
      <c r="L7" s="519">
        <f t="shared" si="2"/>
        <v>5978.8</v>
      </c>
      <c r="M7" s="518"/>
      <c r="N7" s="519"/>
      <c r="O7" s="514"/>
      <c r="P7" s="519"/>
      <c r="Q7" s="518"/>
      <c r="R7" s="519"/>
      <c r="S7" s="514"/>
      <c r="T7" s="519"/>
      <c r="U7" s="518">
        <f t="shared" si="3"/>
        <v>0.15</v>
      </c>
      <c r="V7" s="519">
        <f t="shared" si="4"/>
        <v>17936.399999999998</v>
      </c>
      <c r="W7" s="514">
        <f t="shared" si="5"/>
        <v>0.05</v>
      </c>
      <c r="X7" s="519">
        <f t="shared" si="6"/>
        <v>5978.8</v>
      </c>
      <c r="Y7" s="520">
        <f t="shared" si="7"/>
        <v>0.2</v>
      </c>
      <c r="Z7" s="521">
        <f t="shared" si="8"/>
        <v>23915.199999999997</v>
      </c>
      <c r="AA7" s="513" t="str">
        <f t="shared" si="9"/>
        <v>TRUE</v>
      </c>
    </row>
    <row r="8" spans="1:27" s="513" customFormat="1" ht="18" customHeight="1" x14ac:dyDescent="0.3">
      <c r="A8" s="513" t="s">
        <v>7</v>
      </c>
      <c r="B8" s="513" t="s">
        <v>18</v>
      </c>
      <c r="C8" s="513" t="s">
        <v>129</v>
      </c>
      <c r="D8" s="513" t="s">
        <v>130</v>
      </c>
      <c r="E8" s="514">
        <v>1</v>
      </c>
      <c r="F8" s="515">
        <v>16</v>
      </c>
      <c r="G8" s="516">
        <v>3566.64</v>
      </c>
      <c r="H8" s="517">
        <f t="shared" si="0"/>
        <v>57066.239999999998</v>
      </c>
      <c r="I8" s="518">
        <v>0.75</v>
      </c>
      <c r="J8" s="519">
        <f t="shared" si="1"/>
        <v>42799.68</v>
      </c>
      <c r="K8" s="514">
        <v>0</v>
      </c>
      <c r="L8" s="519">
        <f t="shared" si="2"/>
        <v>0</v>
      </c>
      <c r="M8" s="518"/>
      <c r="N8" s="519"/>
      <c r="O8" s="514"/>
      <c r="P8" s="519"/>
      <c r="Q8" s="518">
        <v>0.25</v>
      </c>
      <c r="R8" s="519">
        <f>+Q8/E8*H8</f>
        <v>14266.56</v>
      </c>
      <c r="S8" s="514">
        <v>0</v>
      </c>
      <c r="T8" s="519">
        <f>+S8/E8*H8</f>
        <v>0</v>
      </c>
      <c r="U8" s="518">
        <f t="shared" si="3"/>
        <v>1</v>
      </c>
      <c r="V8" s="519">
        <f t="shared" si="4"/>
        <v>57066.239999999998</v>
      </c>
      <c r="W8" s="514">
        <f t="shared" si="5"/>
        <v>0</v>
      </c>
      <c r="X8" s="519">
        <f t="shared" si="6"/>
        <v>0</v>
      </c>
      <c r="Y8" s="520">
        <f t="shared" si="7"/>
        <v>1</v>
      </c>
      <c r="Z8" s="521">
        <f t="shared" si="8"/>
        <v>57066.239999999998</v>
      </c>
      <c r="AA8" s="513" t="str">
        <f t="shared" si="9"/>
        <v>TRUE</v>
      </c>
    </row>
    <row r="9" spans="1:27" s="513" customFormat="1" ht="18" customHeight="1" x14ac:dyDescent="0.3">
      <c r="A9" s="513" t="s">
        <v>9</v>
      </c>
      <c r="B9" s="513" t="s">
        <v>20</v>
      </c>
      <c r="C9" s="513" t="s">
        <v>131</v>
      </c>
      <c r="D9" s="513" t="s">
        <v>132</v>
      </c>
      <c r="E9" s="514">
        <v>1</v>
      </c>
      <c r="F9" s="515">
        <v>16</v>
      </c>
      <c r="G9" s="516">
        <v>3769.67</v>
      </c>
      <c r="H9" s="517">
        <f t="shared" si="0"/>
        <v>60314.720000000001</v>
      </c>
      <c r="I9" s="518">
        <v>1</v>
      </c>
      <c r="J9" s="519">
        <f t="shared" si="1"/>
        <v>60314.720000000001</v>
      </c>
      <c r="K9" s="514">
        <v>0</v>
      </c>
      <c r="L9" s="519">
        <f t="shared" si="2"/>
        <v>0</v>
      </c>
      <c r="M9" s="518">
        <v>0</v>
      </c>
      <c r="N9" s="519">
        <f t="shared" ref="N9:N25" si="10">+M9/E9*H9</f>
        <v>0</v>
      </c>
      <c r="O9" s="514">
        <v>0</v>
      </c>
      <c r="P9" s="519">
        <f t="shared" ref="P9:P25" si="11">+O9/E9*H9</f>
        <v>0</v>
      </c>
      <c r="Q9" s="518"/>
      <c r="R9" s="519"/>
      <c r="S9" s="514"/>
      <c r="T9" s="519"/>
      <c r="U9" s="518">
        <f t="shared" si="3"/>
        <v>1</v>
      </c>
      <c r="V9" s="519">
        <f t="shared" si="4"/>
        <v>60314.720000000001</v>
      </c>
      <c r="W9" s="514">
        <f t="shared" si="5"/>
        <v>0</v>
      </c>
      <c r="X9" s="519">
        <f t="shared" si="6"/>
        <v>0</v>
      </c>
      <c r="Y9" s="520">
        <f t="shared" si="7"/>
        <v>1</v>
      </c>
      <c r="Z9" s="521">
        <f t="shared" si="8"/>
        <v>60314.720000000001</v>
      </c>
      <c r="AA9" s="513" t="str">
        <f t="shared" si="9"/>
        <v>TRUE</v>
      </c>
    </row>
    <row r="10" spans="1:27" s="513" customFormat="1" ht="18" customHeight="1" x14ac:dyDescent="0.3">
      <c r="A10" s="513" t="s">
        <v>9</v>
      </c>
      <c r="B10" s="513" t="s">
        <v>20</v>
      </c>
      <c r="C10" s="513" t="s">
        <v>133</v>
      </c>
      <c r="D10" s="513" t="s">
        <v>134</v>
      </c>
      <c r="E10" s="514">
        <v>1</v>
      </c>
      <c r="F10" s="515">
        <v>14</v>
      </c>
      <c r="G10" s="516">
        <v>2731</v>
      </c>
      <c r="H10" s="517">
        <f t="shared" si="0"/>
        <v>38234</v>
      </c>
      <c r="I10" s="518">
        <v>0.5</v>
      </c>
      <c r="J10" s="519">
        <f t="shared" si="1"/>
        <v>19117</v>
      </c>
      <c r="K10" s="514">
        <v>0</v>
      </c>
      <c r="L10" s="519">
        <f t="shared" si="2"/>
        <v>0</v>
      </c>
      <c r="M10" s="518"/>
      <c r="N10" s="519"/>
      <c r="O10" s="514"/>
      <c r="P10" s="519"/>
      <c r="Q10" s="518">
        <v>0.5</v>
      </c>
      <c r="R10" s="519">
        <f>+Q10/E10*H10</f>
        <v>19117</v>
      </c>
      <c r="S10" s="514">
        <v>0</v>
      </c>
      <c r="T10" s="519">
        <f>+S10/E10*H10</f>
        <v>0</v>
      </c>
      <c r="U10" s="518">
        <f t="shared" si="3"/>
        <v>1</v>
      </c>
      <c r="V10" s="519">
        <f t="shared" si="4"/>
        <v>38234</v>
      </c>
      <c r="W10" s="514">
        <f t="shared" si="5"/>
        <v>0</v>
      </c>
      <c r="X10" s="519">
        <f t="shared" si="6"/>
        <v>0</v>
      </c>
      <c r="Y10" s="520">
        <f t="shared" si="7"/>
        <v>1</v>
      </c>
      <c r="Z10" s="521">
        <f t="shared" si="8"/>
        <v>38234</v>
      </c>
      <c r="AA10" s="513" t="str">
        <f t="shared" si="9"/>
        <v>TRUE</v>
      </c>
    </row>
    <row r="11" spans="1:27" s="403" customFormat="1" ht="18" customHeight="1" x14ac:dyDescent="0.3">
      <c r="A11" s="403" t="s">
        <v>9</v>
      </c>
      <c r="B11" s="403" t="s">
        <v>20</v>
      </c>
      <c r="C11" s="403" t="s">
        <v>135</v>
      </c>
      <c r="D11" s="403" t="s">
        <v>136</v>
      </c>
      <c r="E11" s="444">
        <v>1</v>
      </c>
      <c r="F11" s="426">
        <v>16</v>
      </c>
      <c r="G11" s="445">
        <f>(140*7*28)/12</f>
        <v>2286.6666666666665</v>
      </c>
      <c r="H11" s="446">
        <f t="shared" si="0"/>
        <v>36586.666666666664</v>
      </c>
      <c r="I11" s="447">
        <v>1</v>
      </c>
      <c r="J11" s="448">
        <f t="shared" si="1"/>
        <v>36586.666666666664</v>
      </c>
      <c r="K11" s="444">
        <v>0</v>
      </c>
      <c r="L11" s="448">
        <f t="shared" si="2"/>
        <v>0</v>
      </c>
      <c r="M11" s="447"/>
      <c r="N11" s="448"/>
      <c r="O11" s="444"/>
      <c r="P11" s="448"/>
      <c r="Q11" s="447"/>
      <c r="R11" s="448"/>
      <c r="S11" s="444"/>
      <c r="T11" s="448"/>
      <c r="U11" s="447">
        <f t="shared" si="3"/>
        <v>1</v>
      </c>
      <c r="V11" s="448">
        <f t="shared" si="4"/>
        <v>36586.666666666664</v>
      </c>
      <c r="W11" s="444">
        <f t="shared" si="5"/>
        <v>0</v>
      </c>
      <c r="X11" s="448">
        <f t="shared" si="6"/>
        <v>0</v>
      </c>
      <c r="Y11" s="449">
        <f t="shared" si="7"/>
        <v>1</v>
      </c>
      <c r="Z11" s="450">
        <f t="shared" si="8"/>
        <v>36586.666666666664</v>
      </c>
      <c r="AA11" s="403" t="str">
        <f t="shared" si="9"/>
        <v>TRUE</v>
      </c>
    </row>
    <row r="12" spans="1:27" s="513" customFormat="1" ht="18" customHeight="1" x14ac:dyDescent="0.3">
      <c r="A12" s="513" t="s">
        <v>1</v>
      </c>
      <c r="B12" s="513" t="s">
        <v>20</v>
      </c>
      <c r="C12" s="513" t="s">
        <v>137</v>
      </c>
      <c r="D12" s="513" t="s">
        <v>138</v>
      </c>
      <c r="E12" s="514">
        <v>0.75</v>
      </c>
      <c r="F12" s="515">
        <v>16</v>
      </c>
      <c r="G12" s="516">
        <v>4444.45</v>
      </c>
      <c r="H12" s="517">
        <f t="shared" si="0"/>
        <v>53333.399999999994</v>
      </c>
      <c r="I12" s="518">
        <v>0.75</v>
      </c>
      <c r="J12" s="519">
        <f t="shared" si="1"/>
        <v>53333.399999999994</v>
      </c>
      <c r="K12" s="514">
        <v>0</v>
      </c>
      <c r="L12" s="519">
        <f t="shared" si="2"/>
        <v>0</v>
      </c>
      <c r="M12" s="518"/>
      <c r="N12" s="519"/>
      <c r="O12" s="514"/>
      <c r="P12" s="519"/>
      <c r="Q12" s="518"/>
      <c r="R12" s="519"/>
      <c r="S12" s="514"/>
      <c r="T12" s="519"/>
      <c r="U12" s="518">
        <f t="shared" si="3"/>
        <v>0.75</v>
      </c>
      <c r="V12" s="519">
        <f t="shared" si="4"/>
        <v>53333.399999999994</v>
      </c>
      <c r="W12" s="514">
        <f t="shared" si="5"/>
        <v>0</v>
      </c>
      <c r="X12" s="519">
        <f t="shared" si="6"/>
        <v>0</v>
      </c>
      <c r="Y12" s="520">
        <f t="shared" si="7"/>
        <v>0.75</v>
      </c>
      <c r="Z12" s="521">
        <f t="shared" si="8"/>
        <v>53333.399999999994</v>
      </c>
      <c r="AA12" s="513" t="str">
        <f t="shared" si="9"/>
        <v>TRUE</v>
      </c>
    </row>
    <row r="13" spans="1:27" s="513" customFormat="1" ht="18" customHeight="1" x14ac:dyDescent="0.3">
      <c r="A13" s="513" t="s">
        <v>1</v>
      </c>
      <c r="B13" s="513" t="s">
        <v>22</v>
      </c>
      <c r="C13" s="513" t="s">
        <v>139</v>
      </c>
      <c r="D13" s="513" t="s">
        <v>140</v>
      </c>
      <c r="E13" s="514">
        <v>0.1</v>
      </c>
      <c r="F13" s="515">
        <v>16</v>
      </c>
      <c r="G13" s="516">
        <v>3816</v>
      </c>
      <c r="H13" s="517">
        <f t="shared" si="0"/>
        <v>6105.6</v>
      </c>
      <c r="I13" s="518">
        <v>0.1</v>
      </c>
      <c r="J13" s="519">
        <f t="shared" si="1"/>
        <v>6105.6</v>
      </c>
      <c r="K13" s="514">
        <v>0</v>
      </c>
      <c r="L13" s="519">
        <f t="shared" si="2"/>
        <v>0</v>
      </c>
      <c r="M13" s="518"/>
      <c r="N13" s="519"/>
      <c r="O13" s="514"/>
      <c r="P13" s="519"/>
      <c r="Q13" s="518"/>
      <c r="R13" s="519"/>
      <c r="S13" s="514"/>
      <c r="T13" s="519"/>
      <c r="U13" s="518">
        <f t="shared" si="3"/>
        <v>0.1</v>
      </c>
      <c r="V13" s="519">
        <f t="shared" si="4"/>
        <v>6105.6</v>
      </c>
      <c r="W13" s="514">
        <f t="shared" si="5"/>
        <v>0</v>
      </c>
      <c r="X13" s="519">
        <f t="shared" si="6"/>
        <v>0</v>
      </c>
      <c r="Y13" s="520">
        <f t="shared" si="7"/>
        <v>0.1</v>
      </c>
      <c r="Z13" s="521">
        <f t="shared" si="8"/>
        <v>6105.6</v>
      </c>
      <c r="AA13" s="513" t="str">
        <f t="shared" si="9"/>
        <v>TRUE</v>
      </c>
    </row>
    <row r="14" spans="1:27" s="513" customFormat="1" ht="18" customHeight="1" x14ac:dyDescent="0.3">
      <c r="A14" s="513" t="s">
        <v>1</v>
      </c>
      <c r="B14" s="513" t="s">
        <v>24</v>
      </c>
      <c r="C14" s="513" t="s">
        <v>141</v>
      </c>
      <c r="D14" s="513" t="s">
        <v>142</v>
      </c>
      <c r="E14" s="514">
        <v>0.1</v>
      </c>
      <c r="F14" s="515">
        <v>16</v>
      </c>
      <c r="G14" s="516">
        <v>2443.61</v>
      </c>
      <c r="H14" s="517">
        <f t="shared" si="0"/>
        <v>3909.7760000000003</v>
      </c>
      <c r="I14" s="518">
        <v>0.1</v>
      </c>
      <c r="J14" s="519">
        <f t="shared" si="1"/>
        <v>3909.7760000000003</v>
      </c>
      <c r="K14" s="514">
        <v>0</v>
      </c>
      <c r="L14" s="519">
        <f t="shared" si="2"/>
        <v>0</v>
      </c>
      <c r="M14" s="518"/>
      <c r="N14" s="519"/>
      <c r="O14" s="514"/>
      <c r="P14" s="519"/>
      <c r="Q14" s="518"/>
      <c r="R14" s="519"/>
      <c r="S14" s="514"/>
      <c r="T14" s="519"/>
      <c r="U14" s="518">
        <f t="shared" si="3"/>
        <v>0.1</v>
      </c>
      <c r="V14" s="519">
        <f t="shared" si="4"/>
        <v>3909.7760000000003</v>
      </c>
      <c r="W14" s="514">
        <f t="shared" si="5"/>
        <v>0</v>
      </c>
      <c r="X14" s="519">
        <f t="shared" si="6"/>
        <v>0</v>
      </c>
      <c r="Y14" s="520">
        <f t="shared" si="7"/>
        <v>0.1</v>
      </c>
      <c r="Z14" s="521">
        <f t="shared" si="8"/>
        <v>3909.7760000000003</v>
      </c>
      <c r="AA14" s="513" t="str">
        <f t="shared" si="9"/>
        <v>TRUE</v>
      </c>
    </row>
    <row r="15" spans="1:27" s="513" customFormat="1" ht="18" customHeight="1" x14ac:dyDescent="0.3">
      <c r="A15" s="513" t="s">
        <v>7</v>
      </c>
      <c r="B15" s="513" t="s">
        <v>24</v>
      </c>
      <c r="C15" s="513" t="s">
        <v>143</v>
      </c>
      <c r="D15" s="513" t="s">
        <v>142</v>
      </c>
      <c r="E15" s="514">
        <v>0.1</v>
      </c>
      <c r="F15" s="515">
        <v>16</v>
      </c>
      <c r="G15" s="516">
        <f>416.67/0.25</f>
        <v>1666.68</v>
      </c>
      <c r="H15" s="517">
        <f t="shared" si="0"/>
        <v>2666.6880000000001</v>
      </c>
      <c r="I15" s="518">
        <v>0.1</v>
      </c>
      <c r="J15" s="519">
        <f t="shared" si="1"/>
        <v>2666.6880000000001</v>
      </c>
      <c r="K15" s="514">
        <v>0</v>
      </c>
      <c r="L15" s="519">
        <f t="shared" si="2"/>
        <v>0</v>
      </c>
      <c r="M15" s="518"/>
      <c r="N15" s="519"/>
      <c r="O15" s="514"/>
      <c r="P15" s="519"/>
      <c r="Q15" s="518"/>
      <c r="R15" s="519"/>
      <c r="S15" s="514"/>
      <c r="T15" s="519"/>
      <c r="U15" s="518">
        <f t="shared" si="3"/>
        <v>0.1</v>
      </c>
      <c r="V15" s="519">
        <f t="shared" si="4"/>
        <v>2666.6880000000001</v>
      </c>
      <c r="W15" s="514">
        <f t="shared" si="5"/>
        <v>0</v>
      </c>
      <c r="X15" s="519">
        <f t="shared" si="6"/>
        <v>0</v>
      </c>
      <c r="Y15" s="520">
        <f t="shared" si="7"/>
        <v>0.1</v>
      </c>
      <c r="Z15" s="521">
        <f t="shared" si="8"/>
        <v>2666.6880000000001</v>
      </c>
      <c r="AA15" s="513" t="str">
        <f t="shared" si="9"/>
        <v>TRUE</v>
      </c>
    </row>
    <row r="16" spans="1:27" s="404" customFormat="1" ht="18" hidden="1" customHeight="1" x14ac:dyDescent="0.3">
      <c r="A16" s="404" t="s">
        <v>9</v>
      </c>
      <c r="B16" s="404" t="s">
        <v>24</v>
      </c>
      <c r="C16" s="404" t="s">
        <v>144</v>
      </c>
      <c r="D16" s="404" t="s">
        <v>142</v>
      </c>
      <c r="E16" s="451">
        <v>0</v>
      </c>
      <c r="F16" s="452">
        <v>16</v>
      </c>
      <c r="G16" s="453">
        <f>736.32/0.2*0</f>
        <v>0</v>
      </c>
      <c r="H16" s="454">
        <f t="shared" si="0"/>
        <v>0</v>
      </c>
      <c r="I16" s="455">
        <v>0</v>
      </c>
      <c r="J16" s="456"/>
      <c r="K16" s="451"/>
      <c r="L16" s="456"/>
      <c r="M16" s="455"/>
      <c r="N16" s="456"/>
      <c r="O16" s="451"/>
      <c r="P16" s="456"/>
      <c r="Q16" s="455"/>
      <c r="R16" s="456"/>
      <c r="S16" s="451"/>
      <c r="T16" s="456"/>
      <c r="U16" s="455">
        <f t="shared" si="3"/>
        <v>0</v>
      </c>
      <c r="V16" s="456">
        <f t="shared" si="4"/>
        <v>0</v>
      </c>
      <c r="W16" s="451">
        <f t="shared" si="5"/>
        <v>0</v>
      </c>
      <c r="X16" s="456">
        <f t="shared" si="6"/>
        <v>0</v>
      </c>
      <c r="Y16" s="457">
        <f t="shared" si="7"/>
        <v>0</v>
      </c>
      <c r="Z16" s="458">
        <f t="shared" si="8"/>
        <v>0</v>
      </c>
      <c r="AA16" s="404" t="str">
        <f t="shared" si="9"/>
        <v>TRUE</v>
      </c>
    </row>
    <row r="17" spans="1:27" ht="18" customHeight="1" x14ac:dyDescent="0.3"/>
    <row r="18" spans="1:27" s="513" customFormat="1" ht="18" customHeight="1" x14ac:dyDescent="0.25">
      <c r="A18" s="513" t="s">
        <v>11</v>
      </c>
      <c r="B18" s="513" t="s">
        <v>26</v>
      </c>
      <c r="C18" s="513" t="s">
        <v>145</v>
      </c>
      <c r="D18" s="513" t="s">
        <v>146</v>
      </c>
      <c r="E18" s="514">
        <v>1</v>
      </c>
      <c r="F18" s="522">
        <v>14</v>
      </c>
      <c r="G18" s="516">
        <v>3750</v>
      </c>
      <c r="H18" s="517">
        <f t="shared" si="0"/>
        <v>52500</v>
      </c>
      <c r="I18" s="518"/>
      <c r="J18" s="519"/>
      <c r="K18" s="514"/>
      <c r="L18" s="519"/>
      <c r="M18" s="518">
        <v>0.75</v>
      </c>
      <c r="N18" s="519">
        <f t="shared" si="10"/>
        <v>39375</v>
      </c>
      <c r="O18" s="514">
        <v>0.25</v>
      </c>
      <c r="P18" s="519">
        <f t="shared" si="11"/>
        <v>13125</v>
      </c>
      <c r="Q18" s="518"/>
      <c r="R18" s="519"/>
      <c r="S18" s="514"/>
      <c r="T18" s="519"/>
      <c r="U18" s="518">
        <f t="shared" ref="U18:U28" si="12">+I18+M18+Q18</f>
        <v>0.75</v>
      </c>
      <c r="V18" s="519">
        <f t="shared" ref="V18:V28" si="13">+J18+N18+R18</f>
        <v>39375</v>
      </c>
      <c r="W18" s="514">
        <f t="shared" ref="W18:W28" si="14">+K18+O18+S18</f>
        <v>0.25</v>
      </c>
      <c r="X18" s="519">
        <f t="shared" ref="X18:X28" si="15">+L18+P18+T18</f>
        <v>13125</v>
      </c>
      <c r="Y18" s="520">
        <f t="shared" ref="Y18:Y28" si="16">+U18+W18</f>
        <v>1</v>
      </c>
      <c r="Z18" s="521">
        <f t="shared" ref="Z18:Z28" si="17">+V18+X18</f>
        <v>52500</v>
      </c>
      <c r="AA18" s="513" t="str">
        <f t="shared" ref="AA18:AA32" si="18">IF(H18=Z18,"TRUE","FALSE")</f>
        <v>TRUE</v>
      </c>
    </row>
    <row r="19" spans="1:27" s="513" customFormat="1" ht="18" customHeight="1" x14ac:dyDescent="0.25">
      <c r="A19" s="513" t="s">
        <v>13</v>
      </c>
      <c r="B19" s="513" t="s">
        <v>26</v>
      </c>
      <c r="C19" s="513" t="s">
        <v>145</v>
      </c>
      <c r="D19" s="513" t="s">
        <v>146</v>
      </c>
      <c r="E19" s="514">
        <v>1</v>
      </c>
      <c r="F19" s="522">
        <v>14</v>
      </c>
      <c r="G19" s="516">
        <v>3750</v>
      </c>
      <c r="H19" s="517">
        <f t="shared" si="0"/>
        <v>52500</v>
      </c>
      <c r="I19" s="518"/>
      <c r="J19" s="519"/>
      <c r="K19" s="514"/>
      <c r="L19" s="519"/>
      <c r="M19" s="518">
        <v>0.75</v>
      </c>
      <c r="N19" s="519">
        <f t="shared" si="10"/>
        <v>39375</v>
      </c>
      <c r="O19" s="514">
        <v>0.25</v>
      </c>
      <c r="P19" s="519">
        <f t="shared" si="11"/>
        <v>13125</v>
      </c>
      <c r="Q19" s="518"/>
      <c r="R19" s="519"/>
      <c r="S19" s="514"/>
      <c r="T19" s="519"/>
      <c r="U19" s="518">
        <f t="shared" si="12"/>
        <v>0.75</v>
      </c>
      <c r="V19" s="519">
        <f t="shared" si="13"/>
        <v>39375</v>
      </c>
      <c r="W19" s="514">
        <f t="shared" si="14"/>
        <v>0.25</v>
      </c>
      <c r="X19" s="519">
        <f t="shared" si="15"/>
        <v>13125</v>
      </c>
      <c r="Y19" s="520">
        <f t="shared" si="16"/>
        <v>1</v>
      </c>
      <c r="Z19" s="521">
        <f t="shared" si="17"/>
        <v>52500</v>
      </c>
      <c r="AA19" s="513" t="str">
        <f t="shared" si="18"/>
        <v>TRUE</v>
      </c>
    </row>
    <row r="20" spans="1:27" s="513" customFormat="1" ht="18" customHeight="1" x14ac:dyDescent="0.25">
      <c r="A20" s="513" t="s">
        <v>7</v>
      </c>
      <c r="B20" s="513" t="s">
        <v>26</v>
      </c>
      <c r="C20" s="513" t="s">
        <v>147</v>
      </c>
      <c r="D20" s="513" t="s">
        <v>148</v>
      </c>
      <c r="E20" s="514">
        <v>0.25</v>
      </c>
      <c r="F20" s="522">
        <v>14</v>
      </c>
      <c r="G20" s="516">
        <v>8334</v>
      </c>
      <c r="H20" s="517">
        <f>+E20*F20*G20</f>
        <v>29169</v>
      </c>
      <c r="I20" s="518"/>
      <c r="J20" s="519"/>
      <c r="K20" s="514"/>
      <c r="L20" s="519"/>
      <c r="M20" s="518">
        <v>0.25</v>
      </c>
      <c r="N20" s="519">
        <f>+M20/E20*H20</f>
        <v>29169</v>
      </c>
      <c r="O20" s="514">
        <v>0</v>
      </c>
      <c r="P20" s="519">
        <f>+O20/E20*H20</f>
        <v>0</v>
      </c>
      <c r="Q20" s="518"/>
      <c r="R20" s="519"/>
      <c r="S20" s="514"/>
      <c r="T20" s="519"/>
      <c r="U20" s="518">
        <f>+I20+M20+Q20</f>
        <v>0.25</v>
      </c>
      <c r="V20" s="519">
        <f>+J20+N20+R20</f>
        <v>29169</v>
      </c>
      <c r="W20" s="514">
        <f>+K20+O20+S20</f>
        <v>0</v>
      </c>
      <c r="X20" s="519">
        <f>+L20+P20+T20</f>
        <v>0</v>
      </c>
      <c r="Y20" s="520">
        <f>+U20+W20</f>
        <v>0.25</v>
      </c>
      <c r="Z20" s="521">
        <f>+V20+X20</f>
        <v>29169</v>
      </c>
      <c r="AA20" s="513" t="str">
        <f>IF(H20=Z20,"TRUE","FALSE")</f>
        <v>TRUE</v>
      </c>
    </row>
    <row r="21" spans="1:27" s="513" customFormat="1" ht="18" customHeight="1" x14ac:dyDescent="0.25">
      <c r="A21" s="513" t="s">
        <v>11</v>
      </c>
      <c r="B21" s="513" t="s">
        <v>28</v>
      </c>
      <c r="C21" s="513" t="s">
        <v>145</v>
      </c>
      <c r="D21" s="513" t="s">
        <v>149</v>
      </c>
      <c r="E21" s="514">
        <v>1</v>
      </c>
      <c r="F21" s="522">
        <v>14</v>
      </c>
      <c r="G21" s="516">
        <v>2500</v>
      </c>
      <c r="H21" s="517">
        <f t="shared" si="0"/>
        <v>35000</v>
      </c>
      <c r="I21" s="518"/>
      <c r="J21" s="519"/>
      <c r="K21" s="514"/>
      <c r="L21" s="519"/>
      <c r="M21" s="518">
        <v>1</v>
      </c>
      <c r="N21" s="519">
        <f t="shared" si="10"/>
        <v>35000</v>
      </c>
      <c r="O21" s="514">
        <v>0</v>
      </c>
      <c r="P21" s="519">
        <f t="shared" si="11"/>
        <v>0</v>
      </c>
      <c r="Q21" s="518"/>
      <c r="R21" s="519"/>
      <c r="S21" s="514"/>
      <c r="T21" s="519"/>
      <c r="U21" s="518">
        <f t="shared" si="12"/>
        <v>1</v>
      </c>
      <c r="V21" s="519">
        <f t="shared" si="13"/>
        <v>35000</v>
      </c>
      <c r="W21" s="514">
        <f t="shared" si="14"/>
        <v>0</v>
      </c>
      <c r="X21" s="519">
        <f t="shared" si="15"/>
        <v>0</v>
      </c>
      <c r="Y21" s="520">
        <f t="shared" si="16"/>
        <v>1</v>
      </c>
      <c r="Z21" s="521">
        <f t="shared" si="17"/>
        <v>35000</v>
      </c>
      <c r="AA21" s="513" t="str">
        <f t="shared" si="18"/>
        <v>TRUE</v>
      </c>
    </row>
    <row r="22" spans="1:27" s="513" customFormat="1" ht="18" customHeight="1" x14ac:dyDescent="0.25">
      <c r="A22" s="513" t="s">
        <v>13</v>
      </c>
      <c r="B22" s="513" t="s">
        <v>28</v>
      </c>
      <c r="C22" s="513" t="s">
        <v>145</v>
      </c>
      <c r="D22" s="513" t="s">
        <v>149</v>
      </c>
      <c r="E22" s="514">
        <v>1</v>
      </c>
      <c r="F22" s="522">
        <v>14</v>
      </c>
      <c r="G22" s="516">
        <v>2500</v>
      </c>
      <c r="H22" s="517">
        <f t="shared" si="0"/>
        <v>35000</v>
      </c>
      <c r="I22" s="518"/>
      <c r="J22" s="519"/>
      <c r="K22" s="514"/>
      <c r="L22" s="519"/>
      <c r="M22" s="518">
        <v>1</v>
      </c>
      <c r="N22" s="519">
        <f t="shared" si="10"/>
        <v>35000</v>
      </c>
      <c r="O22" s="514">
        <v>0</v>
      </c>
      <c r="P22" s="519">
        <f t="shared" si="11"/>
        <v>0</v>
      </c>
      <c r="Q22" s="518"/>
      <c r="R22" s="519"/>
      <c r="S22" s="514"/>
      <c r="T22" s="519"/>
      <c r="U22" s="518">
        <f t="shared" si="12"/>
        <v>1</v>
      </c>
      <c r="V22" s="519">
        <f t="shared" si="13"/>
        <v>35000</v>
      </c>
      <c r="W22" s="514">
        <f t="shared" si="14"/>
        <v>0</v>
      </c>
      <c r="X22" s="519">
        <f t="shared" si="15"/>
        <v>0</v>
      </c>
      <c r="Y22" s="520">
        <f t="shared" si="16"/>
        <v>1</v>
      </c>
      <c r="Z22" s="521">
        <f t="shared" si="17"/>
        <v>35000</v>
      </c>
      <c r="AA22" s="513" t="str">
        <f t="shared" si="18"/>
        <v>TRUE</v>
      </c>
    </row>
    <row r="23" spans="1:27" s="513" customFormat="1" ht="18" customHeight="1" x14ac:dyDescent="0.25">
      <c r="A23" s="513" t="s">
        <v>1</v>
      </c>
      <c r="B23" s="513" t="s">
        <v>28</v>
      </c>
      <c r="C23" s="513" t="s">
        <v>145</v>
      </c>
      <c r="D23" s="513" t="s">
        <v>149</v>
      </c>
      <c r="E23" s="514">
        <v>1</v>
      </c>
      <c r="F23" s="522">
        <v>14</v>
      </c>
      <c r="G23" s="516">
        <v>2500</v>
      </c>
      <c r="H23" s="517">
        <f t="shared" si="0"/>
        <v>35000</v>
      </c>
      <c r="I23" s="518"/>
      <c r="J23" s="519"/>
      <c r="K23" s="514"/>
      <c r="L23" s="519"/>
      <c r="M23" s="518">
        <v>1</v>
      </c>
      <c r="N23" s="519">
        <f t="shared" si="10"/>
        <v>35000</v>
      </c>
      <c r="O23" s="514">
        <v>0</v>
      </c>
      <c r="P23" s="519">
        <f t="shared" si="11"/>
        <v>0</v>
      </c>
      <c r="Q23" s="518"/>
      <c r="R23" s="519"/>
      <c r="S23" s="514"/>
      <c r="T23" s="519"/>
      <c r="U23" s="518">
        <f t="shared" si="12"/>
        <v>1</v>
      </c>
      <c r="V23" s="519">
        <f t="shared" si="13"/>
        <v>35000</v>
      </c>
      <c r="W23" s="514">
        <f t="shared" si="14"/>
        <v>0</v>
      </c>
      <c r="X23" s="519">
        <f t="shared" si="15"/>
        <v>0</v>
      </c>
      <c r="Y23" s="520">
        <f t="shared" si="16"/>
        <v>1</v>
      </c>
      <c r="Z23" s="521">
        <f t="shared" si="17"/>
        <v>35000</v>
      </c>
      <c r="AA23" s="513" t="str">
        <f t="shared" si="18"/>
        <v>TRUE</v>
      </c>
    </row>
    <row r="24" spans="1:27" s="513" customFormat="1" ht="18" customHeight="1" x14ac:dyDescent="0.25">
      <c r="A24" s="513" t="s">
        <v>7</v>
      </c>
      <c r="B24" s="513" t="s">
        <v>30</v>
      </c>
      <c r="C24" s="513" t="s">
        <v>150</v>
      </c>
      <c r="D24" s="513" t="s">
        <v>151</v>
      </c>
      <c r="E24" s="514">
        <v>0.1</v>
      </c>
      <c r="F24" s="522">
        <v>12</v>
      </c>
      <c r="G24" s="516">
        <v>4904.25</v>
      </c>
      <c r="H24" s="517">
        <f t="shared" si="0"/>
        <v>5885.1000000000013</v>
      </c>
      <c r="I24" s="518"/>
      <c r="J24" s="519"/>
      <c r="K24" s="514"/>
      <c r="L24" s="519"/>
      <c r="M24" s="518">
        <v>0.1</v>
      </c>
      <c r="N24" s="519">
        <f t="shared" si="10"/>
        <v>5885.1000000000013</v>
      </c>
      <c r="O24" s="514">
        <v>0</v>
      </c>
      <c r="P24" s="519">
        <f t="shared" si="11"/>
        <v>0</v>
      </c>
      <c r="Q24" s="518"/>
      <c r="R24" s="519"/>
      <c r="S24" s="514"/>
      <c r="T24" s="519"/>
      <c r="U24" s="518">
        <f t="shared" si="12"/>
        <v>0.1</v>
      </c>
      <c r="V24" s="519">
        <f t="shared" si="13"/>
        <v>5885.1000000000013</v>
      </c>
      <c r="W24" s="514">
        <f t="shared" si="14"/>
        <v>0</v>
      </c>
      <c r="X24" s="519">
        <f t="shared" si="15"/>
        <v>0</v>
      </c>
      <c r="Y24" s="520">
        <f t="shared" si="16"/>
        <v>0.1</v>
      </c>
      <c r="Z24" s="521">
        <f t="shared" si="17"/>
        <v>5885.1000000000013</v>
      </c>
      <c r="AA24" s="513" t="str">
        <f t="shared" si="18"/>
        <v>TRUE</v>
      </c>
    </row>
    <row r="25" spans="1:27" s="513" customFormat="1" ht="18" customHeight="1" x14ac:dyDescent="0.25">
      <c r="A25" s="513" t="s">
        <v>7</v>
      </c>
      <c r="B25" s="513" t="s">
        <v>30</v>
      </c>
      <c r="C25" s="513" t="s">
        <v>152</v>
      </c>
      <c r="D25" s="513" t="s">
        <v>153</v>
      </c>
      <c r="E25" s="514">
        <v>0.25</v>
      </c>
      <c r="F25" s="522">
        <v>5</v>
      </c>
      <c r="G25" s="516">
        <v>2500</v>
      </c>
      <c r="H25" s="517">
        <f>+E25*F25*G25</f>
        <v>3125</v>
      </c>
      <c r="I25" s="518"/>
      <c r="J25" s="519"/>
      <c r="K25" s="514"/>
      <c r="L25" s="519"/>
      <c r="M25" s="518">
        <v>0.25</v>
      </c>
      <c r="N25" s="519">
        <f t="shared" si="10"/>
        <v>3125</v>
      </c>
      <c r="O25" s="514">
        <v>0</v>
      </c>
      <c r="P25" s="519">
        <f t="shared" si="11"/>
        <v>0</v>
      </c>
      <c r="Q25" s="518"/>
      <c r="R25" s="519"/>
      <c r="S25" s="514"/>
      <c r="T25" s="519"/>
      <c r="U25" s="518">
        <f>+I25+M25+Q25</f>
        <v>0.25</v>
      </c>
      <c r="V25" s="519">
        <f>+J25+N25+R25</f>
        <v>3125</v>
      </c>
      <c r="W25" s="514">
        <f>+K25+O25+S25</f>
        <v>0</v>
      </c>
      <c r="X25" s="519">
        <f>+L25+P25+T25</f>
        <v>0</v>
      </c>
      <c r="Y25" s="520">
        <f>+U25+W25</f>
        <v>0.25</v>
      </c>
      <c r="Z25" s="521">
        <f>+V25+X25</f>
        <v>3125</v>
      </c>
      <c r="AA25" s="513" t="str">
        <f>IF(H25=Z25,"TRUE","FALSE")</f>
        <v>TRUE</v>
      </c>
    </row>
    <row r="26" spans="1:27" ht="18" customHeight="1" x14ac:dyDescent="0.3"/>
    <row r="27" spans="1:27" s="513" customFormat="1" ht="18" customHeight="1" x14ac:dyDescent="0.3">
      <c r="A27" s="513" t="s">
        <v>1</v>
      </c>
      <c r="B27" s="513" t="s">
        <v>32</v>
      </c>
      <c r="C27" s="513" t="s">
        <v>154</v>
      </c>
      <c r="D27" s="513" t="s">
        <v>155</v>
      </c>
      <c r="E27" s="514">
        <v>0.02</v>
      </c>
      <c r="F27" s="515">
        <v>16</v>
      </c>
      <c r="G27" s="516">
        <v>6412.5</v>
      </c>
      <c r="H27" s="517">
        <f t="shared" si="0"/>
        <v>2052</v>
      </c>
      <c r="I27" s="518"/>
      <c r="J27" s="519"/>
      <c r="K27" s="514"/>
      <c r="L27" s="519"/>
      <c r="M27" s="518"/>
      <c r="N27" s="519"/>
      <c r="O27" s="514"/>
      <c r="P27" s="519"/>
      <c r="Q27" s="518">
        <v>0.02</v>
      </c>
      <c r="R27" s="519">
        <f>+Q27/E27*H27</f>
        <v>2052</v>
      </c>
      <c r="S27" s="514">
        <v>0</v>
      </c>
      <c r="T27" s="519">
        <f>+S27/E27*H27</f>
        <v>0</v>
      </c>
      <c r="U27" s="518">
        <f t="shared" si="12"/>
        <v>0.02</v>
      </c>
      <c r="V27" s="519">
        <f t="shared" si="13"/>
        <v>2052</v>
      </c>
      <c r="W27" s="514">
        <f t="shared" si="14"/>
        <v>0</v>
      </c>
      <c r="X27" s="519">
        <f t="shared" si="15"/>
        <v>0</v>
      </c>
      <c r="Y27" s="520">
        <f t="shared" si="16"/>
        <v>0.02</v>
      </c>
      <c r="Z27" s="521">
        <f t="shared" si="17"/>
        <v>2052</v>
      </c>
      <c r="AA27" s="513" t="str">
        <f t="shared" si="18"/>
        <v>TRUE</v>
      </c>
    </row>
    <row r="28" spans="1:27" s="513" customFormat="1" ht="18" customHeight="1" x14ac:dyDescent="0.3">
      <c r="A28" s="513" t="s">
        <v>1</v>
      </c>
      <c r="B28" s="513" t="s">
        <v>32</v>
      </c>
      <c r="C28" s="513" t="s">
        <v>156</v>
      </c>
      <c r="D28" s="513" t="s">
        <v>157</v>
      </c>
      <c r="E28" s="514">
        <v>0.02</v>
      </c>
      <c r="F28" s="515">
        <v>16</v>
      </c>
      <c r="G28" s="516">
        <v>11333.33</v>
      </c>
      <c r="H28" s="517">
        <f t="shared" si="0"/>
        <v>3626.6656000000003</v>
      </c>
      <c r="I28" s="518"/>
      <c r="J28" s="519"/>
      <c r="K28" s="514"/>
      <c r="L28" s="519"/>
      <c r="M28" s="518"/>
      <c r="N28" s="519"/>
      <c r="O28" s="514"/>
      <c r="P28" s="519"/>
      <c r="Q28" s="518">
        <v>0.02</v>
      </c>
      <c r="R28" s="519">
        <f>+Q28/E28*H28</f>
        <v>3626.6656000000003</v>
      </c>
      <c r="S28" s="514">
        <v>0</v>
      </c>
      <c r="T28" s="519">
        <f>+S28/E28*H28</f>
        <v>0</v>
      </c>
      <c r="U28" s="518">
        <f t="shared" si="12"/>
        <v>0.02</v>
      </c>
      <c r="V28" s="519">
        <f t="shared" si="13"/>
        <v>3626.6656000000003</v>
      </c>
      <c r="W28" s="514">
        <f t="shared" si="14"/>
        <v>0</v>
      </c>
      <c r="X28" s="519">
        <f t="shared" si="15"/>
        <v>0</v>
      </c>
      <c r="Y28" s="520">
        <f t="shared" si="16"/>
        <v>0.02</v>
      </c>
      <c r="Z28" s="521">
        <f t="shared" si="17"/>
        <v>3626.6656000000003</v>
      </c>
      <c r="AA28" s="513" t="str">
        <f t="shared" si="18"/>
        <v>TRUE</v>
      </c>
    </row>
    <row r="29" spans="1:27" s="513" customFormat="1" ht="18" customHeight="1" x14ac:dyDescent="0.3">
      <c r="A29" s="513" t="s">
        <v>1</v>
      </c>
      <c r="B29" s="513" t="s">
        <v>34</v>
      </c>
      <c r="C29" s="513" t="s">
        <v>158</v>
      </c>
      <c r="D29" s="513" t="s">
        <v>159</v>
      </c>
      <c r="E29" s="515">
        <v>0.04</v>
      </c>
      <c r="F29" s="515">
        <v>12</v>
      </c>
      <c r="G29" s="516" t="s">
        <v>160</v>
      </c>
      <c r="H29" s="517">
        <f>75*40</f>
        <v>3000</v>
      </c>
      <c r="I29" s="518"/>
      <c r="J29" s="519"/>
      <c r="K29" s="514"/>
      <c r="L29" s="519"/>
      <c r="M29" s="518"/>
      <c r="N29" s="519"/>
      <c r="O29" s="514"/>
      <c r="P29" s="519"/>
      <c r="Q29" s="518">
        <f>+E29</f>
        <v>0.04</v>
      </c>
      <c r="R29" s="519">
        <f>+H29</f>
        <v>3000</v>
      </c>
      <c r="S29" s="514">
        <v>0</v>
      </c>
      <c r="T29" s="519">
        <f>+S29/E29*H29</f>
        <v>0</v>
      </c>
      <c r="U29" s="518">
        <f t="shared" ref="U29:X30" si="19">+I29+M29+Q29</f>
        <v>0.04</v>
      </c>
      <c r="V29" s="519">
        <f t="shared" si="19"/>
        <v>3000</v>
      </c>
      <c r="W29" s="514">
        <f t="shared" si="19"/>
        <v>0</v>
      </c>
      <c r="X29" s="519">
        <f t="shared" si="19"/>
        <v>0</v>
      </c>
      <c r="Y29" s="520">
        <f>+U29+W29</f>
        <v>0.04</v>
      </c>
      <c r="Z29" s="521">
        <f>+V29+X29</f>
        <v>3000</v>
      </c>
      <c r="AA29" s="513" t="str">
        <f>IF(H29=Z29,"TRUE","FALSE")</f>
        <v>TRUE</v>
      </c>
    </row>
    <row r="30" spans="1:27" s="513" customFormat="1" ht="18" customHeight="1" x14ac:dyDescent="0.3">
      <c r="A30" s="513" t="s">
        <v>1</v>
      </c>
      <c r="B30" s="513" t="s">
        <v>30</v>
      </c>
      <c r="C30" s="513" t="s">
        <v>161</v>
      </c>
      <c r="D30" s="513" t="s">
        <v>162</v>
      </c>
      <c r="E30" s="515">
        <v>0.03</v>
      </c>
      <c r="F30" s="515">
        <v>12</v>
      </c>
      <c r="G30" s="516" t="s">
        <v>163</v>
      </c>
      <c r="H30" s="517">
        <f>60*60</f>
        <v>3600</v>
      </c>
      <c r="I30" s="518"/>
      <c r="J30" s="519"/>
      <c r="K30" s="514"/>
      <c r="L30" s="519"/>
      <c r="M30" s="518"/>
      <c r="N30" s="519"/>
      <c r="O30" s="514"/>
      <c r="P30" s="519"/>
      <c r="Q30" s="518">
        <f>+E30</f>
        <v>0.03</v>
      </c>
      <c r="R30" s="519">
        <f>+H30</f>
        <v>3600</v>
      </c>
      <c r="S30" s="514">
        <v>0</v>
      </c>
      <c r="T30" s="519">
        <f>+S30/E30*H30</f>
        <v>0</v>
      </c>
      <c r="U30" s="518">
        <f t="shared" si="19"/>
        <v>0.03</v>
      </c>
      <c r="V30" s="519">
        <f t="shared" si="19"/>
        <v>3600</v>
      </c>
      <c r="W30" s="514">
        <f t="shared" si="19"/>
        <v>0</v>
      </c>
      <c r="X30" s="519">
        <f t="shared" si="19"/>
        <v>0</v>
      </c>
      <c r="Y30" s="520">
        <f>+U30+W30</f>
        <v>0.03</v>
      </c>
      <c r="Z30" s="521">
        <f>+V30+X30</f>
        <v>3600</v>
      </c>
      <c r="AA30" s="513" t="str">
        <f>IF(H30=Z30,"TRUE","FALSE")</f>
        <v>TRUE</v>
      </c>
    </row>
    <row r="31" spans="1:27" ht="18" customHeight="1" x14ac:dyDescent="0.3"/>
    <row r="32" spans="1:27" s="399" customFormat="1" x14ac:dyDescent="0.3">
      <c r="A32" s="405" t="s">
        <v>164</v>
      </c>
      <c r="B32" s="405"/>
      <c r="C32" s="405" t="s">
        <v>165</v>
      </c>
      <c r="D32" s="405"/>
      <c r="E32" s="459">
        <f>SUM(E5:E31)</f>
        <v>11.459999999999997</v>
      </c>
      <c r="F32" s="460"/>
      <c r="G32" s="461"/>
      <c r="H32" s="462">
        <f t="shared" ref="H32:T32" si="20">SUM(H5:H31)</f>
        <v>594880.73626666656</v>
      </c>
      <c r="I32" s="463">
        <f t="shared" si="20"/>
        <v>4.8499999999999988</v>
      </c>
      <c r="J32" s="464">
        <f t="shared" si="20"/>
        <v>284602.47466666671</v>
      </c>
      <c r="K32" s="459">
        <f t="shared" si="20"/>
        <v>0.15000000000000002</v>
      </c>
      <c r="L32" s="464">
        <f t="shared" si="20"/>
        <v>16436.936000000002</v>
      </c>
      <c r="M32" s="463">
        <f t="shared" si="20"/>
        <v>5.0999999999999996</v>
      </c>
      <c r="N32" s="464">
        <f t="shared" si="20"/>
        <v>221929.1</v>
      </c>
      <c r="O32" s="459">
        <f t="shared" si="20"/>
        <v>0.5</v>
      </c>
      <c r="P32" s="464">
        <f t="shared" si="20"/>
        <v>26250</v>
      </c>
      <c r="Q32" s="463">
        <f t="shared" si="20"/>
        <v>0.8600000000000001</v>
      </c>
      <c r="R32" s="464">
        <f t="shared" si="20"/>
        <v>45662.225599999998</v>
      </c>
      <c r="S32" s="459">
        <f t="shared" si="20"/>
        <v>0</v>
      </c>
      <c r="T32" s="464">
        <f t="shared" si="20"/>
        <v>0</v>
      </c>
      <c r="U32" s="463">
        <f>+I32+M32+Q32</f>
        <v>10.809999999999999</v>
      </c>
      <c r="V32" s="464">
        <f>+J32+N32+R32</f>
        <v>552193.80026666669</v>
      </c>
      <c r="W32" s="459">
        <f>+K32+O32+S32</f>
        <v>0.65</v>
      </c>
      <c r="X32" s="464">
        <f>+L32+P32+T32</f>
        <v>42686.936000000002</v>
      </c>
      <c r="Y32" s="465">
        <f>+U32+W32</f>
        <v>11.459999999999999</v>
      </c>
      <c r="Z32" s="466">
        <f>+V32+X32</f>
        <v>594880.73626666667</v>
      </c>
      <c r="AA32" s="467" t="str">
        <f t="shared" si="18"/>
        <v>TRUE</v>
      </c>
    </row>
    <row r="33" spans="1:28" s="399" customFormat="1" x14ac:dyDescent="0.3">
      <c r="E33" s="430"/>
      <c r="F33" s="431"/>
      <c r="G33" s="468"/>
      <c r="H33" s="433"/>
      <c r="I33" s="469"/>
      <c r="J33" s="470"/>
      <c r="K33" s="430"/>
      <c r="L33" s="470"/>
      <c r="M33" s="469"/>
      <c r="N33" s="470"/>
      <c r="O33" s="430"/>
      <c r="P33" s="470"/>
      <c r="Q33" s="469"/>
      <c r="R33" s="470"/>
      <c r="S33" s="430"/>
      <c r="T33" s="470"/>
      <c r="U33" s="469"/>
      <c r="V33" s="470"/>
      <c r="W33" s="430"/>
      <c r="X33" s="470"/>
      <c r="Y33" s="509" t="str">
        <f>IF(Y32=E32,"TRUE","FALSE")</f>
        <v>TRUE</v>
      </c>
      <c r="Z33" s="435"/>
      <c r="AA33" s="425"/>
    </row>
    <row r="34" spans="1:28" s="399" customFormat="1" x14ac:dyDescent="0.3">
      <c r="E34" s="430"/>
      <c r="F34" s="431"/>
      <c r="G34" s="468"/>
      <c r="H34" s="433"/>
      <c r="I34" s="469"/>
      <c r="J34" s="470"/>
      <c r="K34" s="430"/>
      <c r="L34" s="470"/>
      <c r="M34" s="469"/>
      <c r="N34" s="470"/>
      <c r="O34" s="430"/>
      <c r="P34" s="470"/>
      <c r="Q34" s="469"/>
      <c r="R34" s="470"/>
      <c r="S34" s="430"/>
      <c r="T34" s="470"/>
      <c r="U34" s="469"/>
      <c r="V34" s="470"/>
      <c r="W34" s="430"/>
      <c r="X34" s="470"/>
      <c r="Y34" s="434"/>
      <c r="Z34" s="435"/>
      <c r="AA34" s="425"/>
    </row>
    <row r="35" spans="1:28" x14ac:dyDescent="0.3">
      <c r="A35" s="399"/>
      <c r="C35" s="399"/>
      <c r="D35" s="399"/>
      <c r="E35" s="430"/>
      <c r="F35" s="431"/>
      <c r="G35" s="432"/>
      <c r="H35" s="433"/>
      <c r="I35" s="585" t="s">
        <v>105</v>
      </c>
      <c r="J35" s="586"/>
      <c r="K35" s="586"/>
      <c r="L35" s="586"/>
      <c r="M35" s="587" t="s">
        <v>106</v>
      </c>
      <c r="N35" s="588"/>
      <c r="O35" s="588"/>
      <c r="P35" s="588"/>
      <c r="Q35" s="589" t="s">
        <v>107</v>
      </c>
      <c r="R35" s="590"/>
      <c r="S35" s="590"/>
      <c r="T35" s="590"/>
      <c r="U35" s="591" t="s">
        <v>166</v>
      </c>
      <c r="V35" s="592"/>
      <c r="W35" s="592"/>
      <c r="X35" s="592"/>
      <c r="Y35" s="592"/>
      <c r="Z35" s="592"/>
    </row>
    <row r="36" spans="1:28" x14ac:dyDescent="0.3">
      <c r="A36" s="401"/>
      <c r="B36" s="402"/>
      <c r="C36" s="401" t="s">
        <v>167</v>
      </c>
      <c r="D36" s="401"/>
      <c r="E36" s="436"/>
      <c r="F36" s="436"/>
      <c r="G36" s="438"/>
      <c r="H36" s="439" t="s">
        <v>168</v>
      </c>
      <c r="I36" s="583" t="s">
        <v>110</v>
      </c>
      <c r="J36" s="584"/>
      <c r="K36" s="584" t="s">
        <v>111</v>
      </c>
      <c r="L36" s="584"/>
      <c r="M36" s="583" t="s">
        <v>110</v>
      </c>
      <c r="N36" s="584"/>
      <c r="O36" s="584" t="s">
        <v>111</v>
      </c>
      <c r="P36" s="584"/>
      <c r="Q36" s="583" t="s">
        <v>110</v>
      </c>
      <c r="R36" s="584"/>
      <c r="S36" s="584" t="s">
        <v>111</v>
      </c>
      <c r="T36" s="584"/>
      <c r="U36" s="583" t="s">
        <v>110</v>
      </c>
      <c r="V36" s="584"/>
      <c r="W36" s="584" t="s">
        <v>111</v>
      </c>
      <c r="X36" s="584"/>
      <c r="Y36" s="434" t="s">
        <v>112</v>
      </c>
      <c r="Z36" s="435"/>
    </row>
    <row r="37" spans="1:28" x14ac:dyDescent="0.3">
      <c r="A37" s="400" t="s">
        <v>1</v>
      </c>
      <c r="C37" s="471" t="s">
        <v>165</v>
      </c>
      <c r="E37" s="471" t="s">
        <v>1</v>
      </c>
      <c r="H37" s="427">
        <f>+H5+H12+H13+H14+H23+H27+H28</f>
        <v>129208.80160000001</v>
      </c>
      <c r="J37" s="408">
        <f>+J5+J12+J13+J14+J23+J27+J28</f>
        <v>83493.864000000001</v>
      </c>
      <c r="L37" s="408">
        <f>+L5+L12+L13+L14</f>
        <v>5036.2720000000008</v>
      </c>
      <c r="N37" s="408">
        <f>+N5+N12+N13+N14+N23+N27+N28</f>
        <v>35000</v>
      </c>
      <c r="P37" s="408">
        <f>+P5+P12+P13+P14+P23+P27+P28</f>
        <v>0</v>
      </c>
      <c r="R37" s="408">
        <f>+R5+R12+R13+R14+R23+R27+R28</f>
        <v>5678.6656000000003</v>
      </c>
      <c r="T37" s="408">
        <f>+T5+T12+T13+T14</f>
        <v>0</v>
      </c>
      <c r="V37" s="408">
        <f t="shared" ref="V37:V43" si="21">+J37+N37+R37</f>
        <v>124172.52960000001</v>
      </c>
      <c r="X37" s="408">
        <f t="shared" ref="X37:X43" si="22">+L37+P37+T37</f>
        <v>5036.2720000000008</v>
      </c>
      <c r="Z37" s="428">
        <f>+V37+X37</f>
        <v>129208.80160000001</v>
      </c>
      <c r="AA37" s="403" t="str">
        <f t="shared" ref="AA37:AA44" si="23">IF(H37=Z37,"TRUE","FALSE")</f>
        <v>TRUE</v>
      </c>
    </row>
    <row r="38" spans="1:28" s="403" customFormat="1" x14ac:dyDescent="0.3">
      <c r="A38" s="403" t="s">
        <v>1</v>
      </c>
      <c r="C38" s="472" t="s">
        <v>165</v>
      </c>
      <c r="E38" s="472" t="s">
        <v>1</v>
      </c>
      <c r="F38" s="473" t="s">
        <v>169</v>
      </c>
      <c r="G38" s="445"/>
      <c r="H38" s="446">
        <f>H29+H30</f>
        <v>6600</v>
      </c>
      <c r="I38" s="447"/>
      <c r="J38" s="448">
        <v>0</v>
      </c>
      <c r="K38" s="444"/>
      <c r="L38" s="448">
        <v>0</v>
      </c>
      <c r="M38" s="447"/>
      <c r="N38" s="448">
        <v>0</v>
      </c>
      <c r="O38" s="444"/>
      <c r="P38" s="448">
        <v>0</v>
      </c>
      <c r="Q38" s="447"/>
      <c r="R38" s="448">
        <f>+R29+R30</f>
        <v>6600</v>
      </c>
      <c r="S38" s="444"/>
      <c r="T38" s="448">
        <f>+T29+T30</f>
        <v>0</v>
      </c>
      <c r="U38" s="447"/>
      <c r="V38" s="448">
        <f t="shared" si="21"/>
        <v>6600</v>
      </c>
      <c r="W38" s="444"/>
      <c r="X38" s="448">
        <f t="shared" si="22"/>
        <v>0</v>
      </c>
      <c r="Y38" s="449"/>
      <c r="Z38" s="450">
        <f>+V38+X38</f>
        <v>6600</v>
      </c>
      <c r="AA38" s="403" t="str">
        <f>IF(H38=Z38,"TRUE","FALSE")</f>
        <v>TRUE</v>
      </c>
    </row>
    <row r="39" spans="1:28" x14ac:dyDescent="0.3">
      <c r="A39" s="400" t="s">
        <v>7</v>
      </c>
      <c r="B39" s="400" t="s">
        <v>170</v>
      </c>
      <c r="C39" s="471" t="s">
        <v>165</v>
      </c>
      <c r="E39" s="471" t="s">
        <v>7</v>
      </c>
      <c r="H39" s="427">
        <f>+H6+H20+H25+H8+H15+H24</f>
        <v>125021.348</v>
      </c>
      <c r="J39" s="408">
        <f>+J6+J20+J25+J8+J15+J24</f>
        <v>67153.823999999993</v>
      </c>
      <c r="L39" s="408">
        <f>+L6+L20+L25+L8+L15</f>
        <v>5421.8640000000005</v>
      </c>
      <c r="N39" s="408">
        <f>+N6+N20+N25+N8+N15+N24</f>
        <v>38179.1</v>
      </c>
      <c r="P39" s="408">
        <f>+P6+P20+P25+P8+P15+P24</f>
        <v>0</v>
      </c>
      <c r="R39" s="408">
        <f>+R6+R20+R25+R8+R15+R24</f>
        <v>14266.56</v>
      </c>
      <c r="T39" s="408">
        <f>+T6+T20+T25+T8+T15</f>
        <v>0</v>
      </c>
      <c r="V39" s="408">
        <f t="shared" si="21"/>
        <v>119599.484</v>
      </c>
      <c r="X39" s="408">
        <f t="shared" si="22"/>
        <v>5421.8640000000005</v>
      </c>
      <c r="Z39" s="428">
        <f t="shared" ref="Z39:Z45" si="24">+V39+X39</f>
        <v>125021.348</v>
      </c>
      <c r="AA39" s="403" t="str">
        <f t="shared" si="23"/>
        <v>TRUE</v>
      </c>
    </row>
    <row r="40" spans="1:28" x14ac:dyDescent="0.3">
      <c r="A40" s="400" t="s">
        <v>9</v>
      </c>
      <c r="B40" s="400" t="s">
        <v>170</v>
      </c>
      <c r="C40" s="471" t="s">
        <v>165</v>
      </c>
      <c r="E40" s="471" t="s">
        <v>9</v>
      </c>
      <c r="H40" s="427">
        <f>+H7+H9+H10+H11+H16-H11</f>
        <v>122463.92000000001</v>
      </c>
      <c r="J40" s="408">
        <f>+J7+J9+J10+J11+J16-J11</f>
        <v>97368.12</v>
      </c>
      <c r="L40" s="408">
        <f>+L7+L9+L10+L11+L16-L11</f>
        <v>5978.8</v>
      </c>
      <c r="N40" s="408">
        <f>+N7+N9+N10+N11+N16-N11</f>
        <v>0</v>
      </c>
      <c r="P40" s="408">
        <f>+P7+P9+P10+P11+P16-P11</f>
        <v>0</v>
      </c>
      <c r="R40" s="408">
        <f>+R7+R9+R10+R11+R16-R11</f>
        <v>19117</v>
      </c>
      <c r="T40" s="408">
        <f>+T7+T9+T10+T11+T16-T11</f>
        <v>0</v>
      </c>
      <c r="V40" s="408">
        <f t="shared" si="21"/>
        <v>116485.12</v>
      </c>
      <c r="X40" s="408">
        <f t="shared" si="22"/>
        <v>5978.8</v>
      </c>
      <c r="Z40" s="428">
        <f t="shared" si="24"/>
        <v>122463.92</v>
      </c>
      <c r="AA40" s="403" t="str">
        <f t="shared" si="23"/>
        <v>TRUE</v>
      </c>
    </row>
    <row r="41" spans="1:28" s="403" customFormat="1" x14ac:dyDescent="0.3">
      <c r="A41" s="403" t="s">
        <v>9</v>
      </c>
      <c r="B41" s="400" t="s">
        <v>170</v>
      </c>
      <c r="C41" s="472" t="s">
        <v>165</v>
      </c>
      <c r="E41" s="472" t="s">
        <v>9</v>
      </c>
      <c r="F41" s="473" t="s">
        <v>169</v>
      </c>
      <c r="G41" s="445"/>
      <c r="H41" s="446">
        <f>+H11</f>
        <v>36586.666666666664</v>
      </c>
      <c r="I41" s="447"/>
      <c r="J41" s="448">
        <f>+J11</f>
        <v>36586.666666666664</v>
      </c>
      <c r="K41" s="444"/>
      <c r="L41" s="448">
        <f>+L11</f>
        <v>0</v>
      </c>
      <c r="M41" s="447"/>
      <c r="N41" s="448">
        <f>+N11</f>
        <v>0</v>
      </c>
      <c r="O41" s="444"/>
      <c r="P41" s="448">
        <f>+P11</f>
        <v>0</v>
      </c>
      <c r="Q41" s="447"/>
      <c r="R41" s="448">
        <f>+R11</f>
        <v>0</v>
      </c>
      <c r="S41" s="444"/>
      <c r="T41" s="448">
        <f>+T11</f>
        <v>0</v>
      </c>
      <c r="U41" s="447"/>
      <c r="V41" s="448">
        <f t="shared" si="21"/>
        <v>36586.666666666664</v>
      </c>
      <c r="W41" s="444"/>
      <c r="X41" s="448">
        <f t="shared" si="22"/>
        <v>0</v>
      </c>
      <c r="Y41" s="449"/>
      <c r="Z41" s="450">
        <f>+V41+X41</f>
        <v>36586.666666666664</v>
      </c>
      <c r="AA41" s="403" t="str">
        <f>IF(H41=Z41,"TRUE","FALSE")</f>
        <v>TRUE</v>
      </c>
    </row>
    <row r="42" spans="1:28" x14ac:dyDescent="0.3">
      <c r="A42" s="400" t="s">
        <v>11</v>
      </c>
      <c r="B42" s="400" t="s">
        <v>170</v>
      </c>
      <c r="C42" s="471" t="s">
        <v>165</v>
      </c>
      <c r="E42" s="471" t="s">
        <v>11</v>
      </c>
      <c r="H42" s="427">
        <f>+H18+H21</f>
        <v>87500</v>
      </c>
      <c r="J42" s="408">
        <f>+J18+J21</f>
        <v>0</v>
      </c>
      <c r="L42" s="408">
        <f>+L18+L21</f>
        <v>0</v>
      </c>
      <c r="N42" s="408">
        <f>+N18+N21</f>
        <v>74375</v>
      </c>
      <c r="P42" s="408">
        <f>+P18+P21</f>
        <v>13125</v>
      </c>
      <c r="R42" s="408">
        <f>+R18+R21</f>
        <v>0</v>
      </c>
      <c r="T42" s="408">
        <f>+T18+T21</f>
        <v>0</v>
      </c>
      <c r="V42" s="408">
        <f t="shared" si="21"/>
        <v>74375</v>
      </c>
      <c r="X42" s="408">
        <f t="shared" si="22"/>
        <v>13125</v>
      </c>
      <c r="Z42" s="428">
        <f t="shared" si="24"/>
        <v>87500</v>
      </c>
      <c r="AA42" s="403" t="str">
        <f t="shared" si="23"/>
        <v>TRUE</v>
      </c>
    </row>
    <row r="43" spans="1:28" x14ac:dyDescent="0.3">
      <c r="A43" s="400" t="s">
        <v>13</v>
      </c>
      <c r="B43" s="400" t="s">
        <v>170</v>
      </c>
      <c r="C43" s="471" t="s">
        <v>165</v>
      </c>
      <c r="E43" s="471" t="s">
        <v>13</v>
      </c>
      <c r="H43" s="427">
        <f>+H19+H22</f>
        <v>87500</v>
      </c>
      <c r="J43" s="408">
        <f>+J19+J22</f>
        <v>0</v>
      </c>
      <c r="L43" s="408">
        <f>+L19+L22</f>
        <v>0</v>
      </c>
      <c r="N43" s="408">
        <f>+N19+N22</f>
        <v>74375</v>
      </c>
      <c r="P43" s="408">
        <f>+P19+P22</f>
        <v>13125</v>
      </c>
      <c r="R43" s="408">
        <f>+R19+R22</f>
        <v>0</v>
      </c>
      <c r="T43" s="408">
        <f>+T19+T22</f>
        <v>0</v>
      </c>
      <c r="V43" s="408">
        <f t="shared" si="21"/>
        <v>74375</v>
      </c>
      <c r="X43" s="408">
        <f t="shared" si="22"/>
        <v>13125</v>
      </c>
      <c r="Z43" s="428">
        <f t="shared" si="24"/>
        <v>87500</v>
      </c>
      <c r="AA43" s="403" t="str">
        <f t="shared" si="23"/>
        <v>TRUE</v>
      </c>
    </row>
    <row r="44" spans="1:28" s="399" customFormat="1" x14ac:dyDescent="0.3">
      <c r="A44" s="405" t="s">
        <v>164</v>
      </c>
      <c r="B44" s="405"/>
      <c r="C44" s="405" t="s">
        <v>165</v>
      </c>
      <c r="D44" s="405"/>
      <c r="E44" s="405"/>
      <c r="F44" s="405"/>
      <c r="G44" s="405"/>
      <c r="H44" s="474">
        <f>SUM(H37:H43)</f>
        <v>594880.73626666679</v>
      </c>
      <c r="I44" s="463"/>
      <c r="J44" s="464">
        <f>SUM(J37:J43)</f>
        <v>284602.47466666665</v>
      </c>
      <c r="K44" s="459"/>
      <c r="L44" s="475">
        <f>SUM(L37:L43)</f>
        <v>16436.936000000002</v>
      </c>
      <c r="M44" s="463"/>
      <c r="N44" s="464">
        <f>SUM(N37:N43)</f>
        <v>221929.1</v>
      </c>
      <c r="O44" s="459"/>
      <c r="P44" s="475">
        <f>SUM(P37:P43)</f>
        <v>26250</v>
      </c>
      <c r="Q44" s="463"/>
      <c r="R44" s="464">
        <f>SUM(R37:R43)</f>
        <v>45662.225599999998</v>
      </c>
      <c r="S44" s="459"/>
      <c r="T44" s="475">
        <f>SUM(T37:T43)</f>
        <v>0</v>
      </c>
      <c r="U44" s="463"/>
      <c r="V44" s="464">
        <f>SUM(V37:V43)</f>
        <v>552193.80026666669</v>
      </c>
      <c r="W44" s="459"/>
      <c r="X44" s="464">
        <f>SUM(X37:X43)</f>
        <v>42686.936000000002</v>
      </c>
      <c r="Y44" s="465"/>
      <c r="Z44" s="466">
        <f t="shared" si="24"/>
        <v>594880.73626666667</v>
      </c>
      <c r="AA44" s="425" t="str">
        <f t="shared" si="23"/>
        <v>TRUE</v>
      </c>
    </row>
    <row r="45" spans="1:28" s="399" customFormat="1" ht="15.75" customHeight="1" x14ac:dyDescent="0.3">
      <c r="H45" s="433"/>
      <c r="I45" s="469"/>
      <c r="J45" s="470"/>
      <c r="K45" s="430"/>
      <c r="L45" s="470"/>
      <c r="M45" s="469"/>
      <c r="N45" s="470"/>
      <c r="O45" s="430"/>
      <c r="P45" s="470"/>
      <c r="Q45" s="469"/>
      <c r="R45" s="470"/>
      <c r="S45" s="430"/>
      <c r="T45" s="470"/>
      <c r="U45" s="469"/>
      <c r="V45" s="408">
        <f>+J44+N44+R44</f>
        <v>552193.80026666669</v>
      </c>
      <c r="W45" s="409"/>
      <c r="X45" s="408">
        <f>+L44+P44+T44</f>
        <v>42686.936000000002</v>
      </c>
      <c r="Y45" s="411"/>
      <c r="Z45" s="428">
        <f t="shared" si="24"/>
        <v>594880.73626666667</v>
      </c>
      <c r="AB45" s="476"/>
    </row>
    <row r="46" spans="1:28" x14ac:dyDescent="0.3">
      <c r="H46" s="433"/>
      <c r="I46" s="585" t="s">
        <v>105</v>
      </c>
      <c r="J46" s="586"/>
      <c r="K46" s="586"/>
      <c r="L46" s="586"/>
      <c r="M46" s="587" t="s">
        <v>106</v>
      </c>
      <c r="N46" s="588"/>
      <c r="O46" s="588"/>
      <c r="P46" s="588"/>
      <c r="Q46" s="589" t="s">
        <v>107</v>
      </c>
      <c r="R46" s="590"/>
      <c r="S46" s="590"/>
      <c r="T46" s="590"/>
      <c r="U46" s="591" t="s">
        <v>166</v>
      </c>
      <c r="V46" s="592"/>
      <c r="W46" s="592"/>
      <c r="X46" s="592"/>
      <c r="Y46" s="592"/>
      <c r="Z46" s="592"/>
    </row>
    <row r="47" spans="1:28" x14ac:dyDescent="0.3">
      <c r="A47" s="402"/>
      <c r="B47" s="402"/>
      <c r="C47" s="401" t="s">
        <v>171</v>
      </c>
      <c r="D47" s="401"/>
      <c r="E47" s="436" t="s">
        <v>172</v>
      </c>
      <c r="F47" s="477"/>
      <c r="G47" s="478"/>
      <c r="H47" s="479" t="s">
        <v>173</v>
      </c>
      <c r="I47" s="583" t="s">
        <v>110</v>
      </c>
      <c r="J47" s="584"/>
      <c r="K47" s="584" t="s">
        <v>111</v>
      </c>
      <c r="L47" s="584"/>
      <c r="M47" s="583" t="s">
        <v>110</v>
      </c>
      <c r="N47" s="584"/>
      <c r="O47" s="584" t="s">
        <v>111</v>
      </c>
      <c r="P47" s="584"/>
      <c r="Q47" s="583" t="s">
        <v>110</v>
      </c>
      <c r="R47" s="584"/>
      <c r="S47" s="584" t="s">
        <v>111</v>
      </c>
      <c r="T47" s="584"/>
      <c r="U47" s="583" t="s">
        <v>110</v>
      </c>
      <c r="V47" s="584"/>
      <c r="W47" s="584" t="s">
        <v>111</v>
      </c>
      <c r="X47" s="584"/>
      <c r="Y47" s="434" t="s">
        <v>112</v>
      </c>
      <c r="Z47" s="435"/>
    </row>
    <row r="48" spans="1:28" x14ac:dyDescent="0.3">
      <c r="A48" s="400" t="s">
        <v>1</v>
      </c>
      <c r="B48" s="406"/>
      <c r="C48" s="399" t="s">
        <v>174</v>
      </c>
      <c r="E48" s="480">
        <v>0.38</v>
      </c>
      <c r="H48" s="427">
        <f>+H37*E48</f>
        <v>49099.344607999999</v>
      </c>
      <c r="I48" s="407">
        <v>0.3</v>
      </c>
      <c r="J48" s="408">
        <f>+J37*I48</f>
        <v>25048.159199999998</v>
      </c>
      <c r="K48" s="409">
        <f>+E48-I48</f>
        <v>8.0000000000000016E-2</v>
      </c>
      <c r="L48" s="408">
        <f>+J37*K48</f>
        <v>6679.5091200000015</v>
      </c>
      <c r="M48" s="407">
        <v>0.3</v>
      </c>
      <c r="N48" s="408">
        <f>+N37*M48</f>
        <v>10500</v>
      </c>
      <c r="O48" s="409">
        <f>+E48-M48</f>
        <v>8.0000000000000016E-2</v>
      </c>
      <c r="P48" s="408">
        <f>+N37*O48</f>
        <v>2800.0000000000005</v>
      </c>
      <c r="Q48" s="407">
        <v>0.3</v>
      </c>
      <c r="R48" s="408">
        <f>+R37*Q48</f>
        <v>1703.59968</v>
      </c>
      <c r="S48" s="409">
        <f>+E48-Q48</f>
        <v>8.0000000000000016E-2</v>
      </c>
      <c r="T48" s="408">
        <f>+R37*S48</f>
        <v>454.29324800000012</v>
      </c>
      <c r="V48" s="408">
        <f>+J48+N48+R48</f>
        <v>37251.758879999994</v>
      </c>
      <c r="X48" s="408">
        <f>+L48+P48+T48</f>
        <v>9933.8023680000024</v>
      </c>
      <c r="Z48" s="428">
        <f>+V48+X48</f>
        <v>47185.561247999998</v>
      </c>
    </row>
    <row r="49" spans="1:28" x14ac:dyDescent="0.3">
      <c r="B49" s="406"/>
      <c r="E49" s="480"/>
      <c r="K49" s="409">
        <f>+E48</f>
        <v>0.38</v>
      </c>
      <c r="L49" s="408">
        <f>+L37*K49</f>
        <v>1913.7833600000004</v>
      </c>
      <c r="O49" s="409">
        <f>+E48</f>
        <v>0.38</v>
      </c>
      <c r="P49" s="408">
        <f>+P37*O49</f>
        <v>0</v>
      </c>
      <c r="S49" s="409">
        <f>+E48</f>
        <v>0.38</v>
      </c>
      <c r="T49" s="408">
        <f>+T37*S49</f>
        <v>0</v>
      </c>
      <c r="V49" s="408">
        <f>+J49+N49+R49</f>
        <v>0</v>
      </c>
      <c r="X49" s="408">
        <f>+L49+P49+T49</f>
        <v>1913.7833600000004</v>
      </c>
      <c r="Z49" s="428">
        <f>+V49+X49</f>
        <v>1913.7833600000004</v>
      </c>
    </row>
    <row r="50" spans="1:28" ht="12.5" x14ac:dyDescent="0.25">
      <c r="C50" s="481" t="s">
        <v>171</v>
      </c>
      <c r="D50" s="481"/>
      <c r="E50" s="482" t="s">
        <v>1</v>
      </c>
      <c r="F50" s="481"/>
      <c r="G50" s="481"/>
      <c r="H50" s="483">
        <f>SUM(H48:H49)</f>
        <v>49099.344607999999</v>
      </c>
      <c r="I50" s="484"/>
      <c r="J50" s="485">
        <f>SUM(J48:J49)</f>
        <v>25048.159199999998</v>
      </c>
      <c r="K50" s="486"/>
      <c r="L50" s="485">
        <f>SUM(L48:L49)</f>
        <v>8593.2924800000019</v>
      </c>
      <c r="M50" s="484"/>
      <c r="N50" s="485">
        <f>SUM(N48:N49)</f>
        <v>10500</v>
      </c>
      <c r="O50" s="486"/>
      <c r="P50" s="485">
        <f>SUM(P48:P49)</f>
        <v>2800.0000000000005</v>
      </c>
      <c r="Q50" s="484"/>
      <c r="R50" s="485">
        <f>SUM(R48:R49)</f>
        <v>1703.59968</v>
      </c>
      <c r="S50" s="486"/>
      <c r="T50" s="485">
        <f>SUM(T48:T49)</f>
        <v>454.29324800000012</v>
      </c>
      <c r="U50" s="484"/>
      <c r="V50" s="485">
        <f>+J50+N50+R50</f>
        <v>37251.758879999994</v>
      </c>
      <c r="W50" s="486"/>
      <c r="X50" s="485">
        <f>+L50+P50+T50</f>
        <v>11847.585728000002</v>
      </c>
      <c r="Y50" s="487"/>
      <c r="Z50" s="488">
        <f>+V50+X50</f>
        <v>49099.344607999999</v>
      </c>
      <c r="AA50" s="403" t="str">
        <f>IF(H50=Z50,"TRUE","FALSE")</f>
        <v>TRUE</v>
      </c>
    </row>
    <row r="51" spans="1:28" ht="9" customHeight="1" x14ac:dyDescent="0.3">
      <c r="B51" s="406"/>
      <c r="E51" s="429"/>
      <c r="F51" s="400"/>
      <c r="G51" s="400"/>
      <c r="H51" s="433"/>
      <c r="AA51" s="425"/>
      <c r="AB51" s="428"/>
    </row>
    <row r="52" spans="1:28" x14ac:dyDescent="0.3">
      <c r="A52" s="400" t="s">
        <v>7</v>
      </c>
      <c r="B52" s="406"/>
      <c r="C52" s="399" t="s">
        <v>174</v>
      </c>
      <c r="E52" s="480">
        <v>0.34</v>
      </c>
      <c r="H52" s="427">
        <f>+H39*E52</f>
        <v>42507.258320000001</v>
      </c>
      <c r="I52" s="407">
        <v>0.3</v>
      </c>
      <c r="J52" s="408">
        <f>+J39*I52</f>
        <v>20146.147199999996</v>
      </c>
      <c r="K52" s="409">
        <f>+E52-I52</f>
        <v>4.0000000000000036E-2</v>
      </c>
      <c r="L52" s="408">
        <f>+J39*K52</f>
        <v>2686.1529600000022</v>
      </c>
      <c r="M52" s="407">
        <v>0.3</v>
      </c>
      <c r="N52" s="408">
        <f>+N39*M52</f>
        <v>11453.73</v>
      </c>
      <c r="O52" s="409">
        <f>+E52-M52</f>
        <v>4.0000000000000036E-2</v>
      </c>
      <c r="P52" s="408">
        <f>+N39*O52</f>
        <v>1527.1640000000014</v>
      </c>
      <c r="Q52" s="407">
        <v>0.3</v>
      </c>
      <c r="R52" s="408">
        <f>+R39*Q52</f>
        <v>4279.9679999999998</v>
      </c>
      <c r="S52" s="409">
        <f>+E52-Q52</f>
        <v>4.0000000000000036E-2</v>
      </c>
      <c r="T52" s="408">
        <f>+R39*S52</f>
        <v>570.6624000000005</v>
      </c>
      <c r="V52" s="408">
        <f>+J52+N52+R52</f>
        <v>35879.845199999996</v>
      </c>
      <c r="X52" s="408">
        <f>+L52+P52+T52</f>
        <v>4783.9793600000039</v>
      </c>
      <c r="Z52" s="428">
        <f>+V52+X52</f>
        <v>40663.824560000001</v>
      </c>
    </row>
    <row r="53" spans="1:28" x14ac:dyDescent="0.3">
      <c r="B53" s="406"/>
      <c r="E53" s="489"/>
      <c r="K53" s="409">
        <f>+E52</f>
        <v>0.34</v>
      </c>
      <c r="L53" s="408">
        <f>+L39*K53</f>
        <v>1843.4337600000003</v>
      </c>
      <c r="O53" s="409">
        <f>+E52</f>
        <v>0.34</v>
      </c>
      <c r="P53" s="408">
        <f>+P39*O53</f>
        <v>0</v>
      </c>
      <c r="S53" s="409">
        <f>+E52</f>
        <v>0.34</v>
      </c>
      <c r="T53" s="408">
        <f>+T39*S53</f>
        <v>0</v>
      </c>
      <c r="X53" s="408">
        <f>+L53+P53+T53</f>
        <v>1843.4337600000003</v>
      </c>
      <c r="Z53" s="428">
        <f>+V53+X53</f>
        <v>1843.4337600000003</v>
      </c>
    </row>
    <row r="54" spans="1:28" ht="12.5" x14ac:dyDescent="0.25">
      <c r="C54" s="481" t="s">
        <v>171</v>
      </c>
      <c r="D54" s="481"/>
      <c r="E54" s="482" t="s">
        <v>7</v>
      </c>
      <c r="F54" s="481"/>
      <c r="G54" s="481"/>
      <c r="H54" s="490">
        <f>SUM(H52:H53)</f>
        <v>42507.258320000001</v>
      </c>
      <c r="I54" s="484"/>
      <c r="J54" s="485">
        <f>SUM(J52:J53)</f>
        <v>20146.147199999996</v>
      </c>
      <c r="K54" s="486"/>
      <c r="L54" s="485">
        <f>SUM(L52:L53)</f>
        <v>4529.586720000003</v>
      </c>
      <c r="M54" s="484"/>
      <c r="N54" s="485">
        <f>SUM(N52:N53)</f>
        <v>11453.73</v>
      </c>
      <c r="O54" s="486"/>
      <c r="P54" s="485">
        <f>SUM(P52:P53)</f>
        <v>1527.1640000000014</v>
      </c>
      <c r="Q54" s="484"/>
      <c r="R54" s="485">
        <f>SUM(R52:R53)</f>
        <v>4279.9679999999998</v>
      </c>
      <c r="S54" s="486"/>
      <c r="T54" s="485">
        <f>SUM(T52:T53)</f>
        <v>570.6624000000005</v>
      </c>
      <c r="U54" s="484"/>
      <c r="V54" s="485">
        <f>+J54+N54+R54</f>
        <v>35879.845199999996</v>
      </c>
      <c r="W54" s="486"/>
      <c r="X54" s="485">
        <f>+L54+P54+T54</f>
        <v>6627.4131200000047</v>
      </c>
      <c r="Y54" s="487"/>
      <c r="Z54" s="488">
        <f>+V54+X54</f>
        <v>42507.258320000001</v>
      </c>
      <c r="AA54" s="403" t="str">
        <f>IF(H54=Z54,"TRUE","FALSE")</f>
        <v>TRUE</v>
      </c>
      <c r="AB54" s="428"/>
    </row>
    <row r="55" spans="1:28" ht="9" customHeight="1" x14ac:dyDescent="0.3">
      <c r="B55" s="406"/>
      <c r="E55" s="489"/>
    </row>
    <row r="56" spans="1:28" x14ac:dyDescent="0.3">
      <c r="A56" s="400" t="s">
        <v>9</v>
      </c>
      <c r="B56" s="406"/>
      <c r="C56" s="399" t="s">
        <v>175</v>
      </c>
      <c r="E56" s="510">
        <v>0.2</v>
      </c>
      <c r="H56" s="427">
        <f>+H40*E56</f>
        <v>24492.784000000003</v>
      </c>
      <c r="I56" s="407">
        <v>0.2</v>
      </c>
      <c r="J56" s="408">
        <f>+J40*I56</f>
        <v>19473.624</v>
      </c>
      <c r="K56" s="409">
        <f>+E56-I56</f>
        <v>0</v>
      </c>
      <c r="L56" s="408">
        <f>+J40*K56</f>
        <v>0</v>
      </c>
      <c r="M56" s="407">
        <v>0.2</v>
      </c>
      <c r="N56" s="408">
        <f>+N40*M56</f>
        <v>0</v>
      </c>
      <c r="O56" s="409">
        <f>+E56-M56</f>
        <v>0</v>
      </c>
      <c r="P56" s="408">
        <f>+N40*O56</f>
        <v>0</v>
      </c>
      <c r="Q56" s="407">
        <v>0.2</v>
      </c>
      <c r="R56" s="408">
        <f>+R40*Q56</f>
        <v>3823.4</v>
      </c>
      <c r="S56" s="409">
        <f>+E56-Q56</f>
        <v>0</v>
      </c>
      <c r="T56" s="408">
        <f>+R40*S56</f>
        <v>0</v>
      </c>
      <c r="V56" s="408">
        <f>+J56+N56+R56</f>
        <v>23297.024000000001</v>
      </c>
      <c r="X56" s="408">
        <f>+L56+P56+T56</f>
        <v>0</v>
      </c>
      <c r="Z56" s="428">
        <f>+V56+X56</f>
        <v>23297.024000000001</v>
      </c>
    </row>
    <row r="57" spans="1:28" x14ac:dyDescent="0.3">
      <c r="B57" s="406"/>
      <c r="C57" s="399"/>
      <c r="E57" s="426"/>
      <c r="K57" s="409">
        <f>+E56</f>
        <v>0.2</v>
      </c>
      <c r="L57" s="408">
        <f>+L40*K57</f>
        <v>1195.76</v>
      </c>
      <c r="O57" s="409">
        <f>+E56</f>
        <v>0.2</v>
      </c>
      <c r="P57" s="408">
        <f>+P40*O57</f>
        <v>0</v>
      </c>
      <c r="S57" s="409">
        <f>+E56</f>
        <v>0.2</v>
      </c>
      <c r="T57" s="408">
        <f>+T40*S57</f>
        <v>0</v>
      </c>
      <c r="V57" s="408">
        <f>+J57+N57+R57</f>
        <v>0</v>
      </c>
      <c r="X57" s="408">
        <f>+L57+P57+T57</f>
        <v>1195.76</v>
      </c>
      <c r="Z57" s="428">
        <f>+V57+X57</f>
        <v>1195.76</v>
      </c>
    </row>
    <row r="58" spans="1:28" ht="12.5" x14ac:dyDescent="0.25">
      <c r="C58" s="481" t="s">
        <v>171</v>
      </c>
      <c r="D58" s="481"/>
      <c r="E58" s="482" t="s">
        <v>9</v>
      </c>
      <c r="F58" s="481"/>
      <c r="G58" s="481"/>
      <c r="H58" s="490">
        <f>SUM(H56:H57)</f>
        <v>24492.784000000003</v>
      </c>
      <c r="I58" s="484"/>
      <c r="J58" s="485">
        <f>SUM(J56:J57)</f>
        <v>19473.624</v>
      </c>
      <c r="K58" s="486"/>
      <c r="L58" s="485">
        <f>SUM(L56:L57)</f>
        <v>1195.76</v>
      </c>
      <c r="M58" s="484"/>
      <c r="N58" s="485">
        <f>SUM(N56:N57)</f>
        <v>0</v>
      </c>
      <c r="O58" s="486"/>
      <c r="P58" s="485">
        <f>SUM(P56:P57)</f>
        <v>0</v>
      </c>
      <c r="Q58" s="484"/>
      <c r="R58" s="485">
        <f>SUM(R56:R57)</f>
        <v>3823.4</v>
      </c>
      <c r="S58" s="486"/>
      <c r="T58" s="485">
        <f>SUM(T56:T57)</f>
        <v>0</v>
      </c>
      <c r="U58" s="484"/>
      <c r="V58" s="485">
        <f>+J58+N58+R58</f>
        <v>23297.024000000001</v>
      </c>
      <c r="W58" s="486"/>
      <c r="X58" s="485">
        <f>+L58+P58+T58</f>
        <v>1195.76</v>
      </c>
      <c r="Y58" s="487"/>
      <c r="Z58" s="488">
        <f>+V58+X58</f>
        <v>24492.784</v>
      </c>
      <c r="AA58" s="403" t="str">
        <f>IF(H58=Z58,"TRUE","FALSE")</f>
        <v>TRUE</v>
      </c>
    </row>
    <row r="59" spans="1:28" ht="9" customHeight="1" x14ac:dyDescent="0.3">
      <c r="B59" s="406"/>
      <c r="C59" s="399"/>
      <c r="E59" s="426"/>
    </row>
    <row r="60" spans="1:28" x14ac:dyDescent="0.3">
      <c r="A60" s="400" t="s">
        <v>11</v>
      </c>
      <c r="B60" s="406"/>
      <c r="C60" s="399" t="s">
        <v>175</v>
      </c>
      <c r="E60" s="510">
        <v>0.3</v>
      </c>
      <c r="H60" s="427">
        <f>+H42*E60</f>
        <v>26250</v>
      </c>
      <c r="I60" s="407">
        <v>0.3</v>
      </c>
      <c r="J60" s="408">
        <f>+J42*I60</f>
        <v>0</v>
      </c>
      <c r="K60" s="409">
        <f>+E60-I60</f>
        <v>0</v>
      </c>
      <c r="L60" s="408">
        <f>+J42*K60</f>
        <v>0</v>
      </c>
      <c r="M60" s="407">
        <v>0.3</v>
      </c>
      <c r="N60" s="408">
        <f>+N42*M60</f>
        <v>22312.5</v>
      </c>
      <c r="O60" s="409">
        <f>+E60-M60</f>
        <v>0</v>
      </c>
      <c r="P60" s="408">
        <f>+N42*O60</f>
        <v>0</v>
      </c>
      <c r="Q60" s="407">
        <v>0.3</v>
      </c>
      <c r="R60" s="408">
        <f>+R42*Q60</f>
        <v>0</v>
      </c>
      <c r="S60" s="409">
        <f>+E60-Q60</f>
        <v>0</v>
      </c>
      <c r="T60" s="408">
        <f>+R42*S60</f>
        <v>0</v>
      </c>
      <c r="V60" s="408">
        <f>+J60+N60+R60</f>
        <v>22312.5</v>
      </c>
      <c r="X60" s="408">
        <f>+L60+P60+T60</f>
        <v>0</v>
      </c>
      <c r="Z60" s="428">
        <f>+V60+X60</f>
        <v>22312.5</v>
      </c>
    </row>
    <row r="61" spans="1:28" x14ac:dyDescent="0.3">
      <c r="B61" s="406"/>
      <c r="C61" s="399"/>
      <c r="E61" s="426"/>
      <c r="K61" s="409">
        <f>+E60</f>
        <v>0.3</v>
      </c>
      <c r="L61" s="408">
        <f>+L42*K61</f>
        <v>0</v>
      </c>
      <c r="O61" s="409">
        <f>+E60</f>
        <v>0.3</v>
      </c>
      <c r="P61" s="408">
        <f>+P42*O61</f>
        <v>3937.5</v>
      </c>
      <c r="S61" s="409">
        <f>+E60</f>
        <v>0.3</v>
      </c>
      <c r="V61" s="408">
        <f>+J61+N61+R61</f>
        <v>0</v>
      </c>
      <c r="X61" s="408">
        <f>+L61+P61+T61</f>
        <v>3937.5</v>
      </c>
      <c r="Z61" s="428">
        <f>+V61+X61</f>
        <v>3937.5</v>
      </c>
    </row>
    <row r="62" spans="1:28" ht="12.5" x14ac:dyDescent="0.25">
      <c r="C62" s="481" t="s">
        <v>171</v>
      </c>
      <c r="D62" s="481"/>
      <c r="E62" s="482" t="s">
        <v>11</v>
      </c>
      <c r="F62" s="481"/>
      <c r="G62" s="481"/>
      <c r="H62" s="490">
        <f>SUM(H60:H61)</f>
        <v>26250</v>
      </c>
      <c r="I62" s="484"/>
      <c r="J62" s="485">
        <f>SUM(J60:J61)</f>
        <v>0</v>
      </c>
      <c r="K62" s="486"/>
      <c r="L62" s="485">
        <f>SUM(L60:L61)</f>
        <v>0</v>
      </c>
      <c r="M62" s="484"/>
      <c r="N62" s="485">
        <f>SUM(N60:N61)</f>
        <v>22312.5</v>
      </c>
      <c r="O62" s="486"/>
      <c r="P62" s="485">
        <f>SUM(P60:P61)</f>
        <v>3937.5</v>
      </c>
      <c r="Q62" s="484"/>
      <c r="R62" s="485">
        <f>SUM(R60:R61)</f>
        <v>0</v>
      </c>
      <c r="S62" s="486"/>
      <c r="T62" s="485">
        <f>SUM(T60:T61)</f>
        <v>0</v>
      </c>
      <c r="U62" s="484"/>
      <c r="V62" s="485">
        <f>+J62+N62+R62</f>
        <v>22312.5</v>
      </c>
      <c r="W62" s="486"/>
      <c r="X62" s="485">
        <f>+L62+P62+T62</f>
        <v>3937.5</v>
      </c>
      <c r="Y62" s="487"/>
      <c r="Z62" s="488">
        <f>+V62+X62</f>
        <v>26250</v>
      </c>
      <c r="AA62" s="403" t="str">
        <f>IF(H62=Z62,"TRUE","FALSE")</f>
        <v>TRUE</v>
      </c>
    </row>
    <row r="63" spans="1:28" ht="9" customHeight="1" x14ac:dyDescent="0.3">
      <c r="B63" s="406"/>
      <c r="C63" s="399"/>
      <c r="E63" s="426"/>
    </row>
    <row r="64" spans="1:28" x14ac:dyDescent="0.3">
      <c r="A64" s="400" t="s">
        <v>13</v>
      </c>
      <c r="B64" s="406"/>
      <c r="C64" s="399" t="s">
        <v>175</v>
      </c>
      <c r="E64" s="510">
        <v>0.3</v>
      </c>
      <c r="H64" s="427">
        <f>+H43*E64</f>
        <v>26250</v>
      </c>
      <c r="I64" s="407">
        <v>0.3</v>
      </c>
      <c r="J64" s="408">
        <f>+J43*I64</f>
        <v>0</v>
      </c>
      <c r="K64" s="409">
        <f>+E64-I64</f>
        <v>0</v>
      </c>
      <c r="L64" s="408">
        <f>+J43*K64</f>
        <v>0</v>
      </c>
      <c r="M64" s="407">
        <v>0.3</v>
      </c>
      <c r="N64" s="408">
        <f>+N43*M64</f>
        <v>22312.5</v>
      </c>
      <c r="O64" s="409">
        <f>+E64-M64</f>
        <v>0</v>
      </c>
      <c r="P64" s="408">
        <f>+N43*O64</f>
        <v>0</v>
      </c>
      <c r="Q64" s="407">
        <v>0.3</v>
      </c>
      <c r="R64" s="408">
        <f>+R43*Q64</f>
        <v>0</v>
      </c>
      <c r="S64" s="409">
        <f>+E64-Q64</f>
        <v>0</v>
      </c>
      <c r="T64" s="408">
        <f>+R43*S64</f>
        <v>0</v>
      </c>
      <c r="V64" s="408">
        <f>+J64+N64+R64</f>
        <v>22312.5</v>
      </c>
      <c r="X64" s="408">
        <f>+L64+P64+T64</f>
        <v>0</v>
      </c>
      <c r="Z64" s="428">
        <f>+V64+X64</f>
        <v>22312.5</v>
      </c>
    </row>
    <row r="65" spans="1:27" x14ac:dyDescent="0.3">
      <c r="B65" s="406"/>
      <c r="C65" s="399"/>
      <c r="E65" s="426"/>
      <c r="K65" s="409">
        <f>+E64</f>
        <v>0.3</v>
      </c>
      <c r="L65" s="408">
        <f>+L43*K65</f>
        <v>0</v>
      </c>
      <c r="O65" s="409">
        <f>+E64</f>
        <v>0.3</v>
      </c>
      <c r="P65" s="408">
        <f>+P43*O65</f>
        <v>3937.5</v>
      </c>
      <c r="S65" s="409">
        <f>+E64</f>
        <v>0.3</v>
      </c>
      <c r="T65" s="408">
        <f>+T43*S65</f>
        <v>0</v>
      </c>
      <c r="V65" s="408">
        <f>+J65+N65+R65</f>
        <v>0</v>
      </c>
      <c r="X65" s="408">
        <f>+L65+P65+T65</f>
        <v>3937.5</v>
      </c>
      <c r="Z65" s="428">
        <f>+V65+X65</f>
        <v>3937.5</v>
      </c>
    </row>
    <row r="66" spans="1:27" x14ac:dyDescent="0.3">
      <c r="C66" s="405" t="s">
        <v>171</v>
      </c>
      <c r="D66" s="405"/>
      <c r="E66" s="491" t="s">
        <v>13</v>
      </c>
      <c r="F66" s="405"/>
      <c r="G66" s="405"/>
      <c r="H66" s="462">
        <f>SUM(H64:H65)</f>
        <v>26250</v>
      </c>
      <c r="I66" s="484"/>
      <c r="J66" s="485">
        <f>SUM(J64:J65)</f>
        <v>0</v>
      </c>
      <c r="K66" s="486"/>
      <c r="L66" s="485">
        <f>SUM(L64:L65)</f>
        <v>0</v>
      </c>
      <c r="M66" s="484"/>
      <c r="N66" s="485">
        <f>SUM(N64:N65)</f>
        <v>22312.5</v>
      </c>
      <c r="O66" s="486"/>
      <c r="P66" s="485">
        <f>SUM(P64:P65)</f>
        <v>3937.5</v>
      </c>
      <c r="Q66" s="484"/>
      <c r="R66" s="485">
        <f>SUM(R64:R65)</f>
        <v>0</v>
      </c>
      <c r="S66" s="486"/>
      <c r="T66" s="485">
        <f>SUM(T64:T65)</f>
        <v>0</v>
      </c>
      <c r="U66" s="484"/>
      <c r="V66" s="485">
        <f>+J66+N66+R66</f>
        <v>22312.5</v>
      </c>
      <c r="W66" s="486"/>
      <c r="X66" s="485">
        <f>+L66+P66+T66</f>
        <v>3937.5</v>
      </c>
      <c r="Y66" s="487"/>
      <c r="Z66" s="488">
        <f>+V66+X66</f>
        <v>26250</v>
      </c>
      <c r="AA66" s="425" t="str">
        <f>IF(H66=Z66,"TRUE","FALSE")</f>
        <v>TRUE</v>
      </c>
    </row>
    <row r="67" spans="1:27" ht="7.5" customHeight="1" x14ac:dyDescent="0.3">
      <c r="C67" s="399"/>
      <c r="E67" s="426"/>
    </row>
    <row r="68" spans="1:27" ht="12.75" customHeight="1" x14ac:dyDescent="0.3">
      <c r="C68" s="399"/>
      <c r="E68" s="426"/>
      <c r="L68" s="410">
        <f>+J69+L69</f>
        <v>78986.569600000003</v>
      </c>
      <c r="P68" s="410">
        <f>+N69+P69</f>
        <v>78780.894</v>
      </c>
      <c r="T68" s="410">
        <f>+R69+T69</f>
        <v>10831.923328000001</v>
      </c>
      <c r="Z68" s="412">
        <f>+T68+P68+L68</f>
        <v>168599.38692800002</v>
      </c>
    </row>
    <row r="69" spans="1:27" s="399" customFormat="1" x14ac:dyDescent="0.3">
      <c r="A69" s="401" t="s">
        <v>164</v>
      </c>
      <c r="B69" s="401"/>
      <c r="C69" s="401" t="s">
        <v>171</v>
      </c>
      <c r="D69" s="401"/>
      <c r="E69" s="436"/>
      <c r="F69" s="437"/>
      <c r="G69" s="438"/>
      <c r="H69" s="479">
        <f>+H50+H54+H58+H62+H66</f>
        <v>168599.38692800002</v>
      </c>
      <c r="I69" s="440"/>
      <c r="J69" s="441">
        <f>+J50+J54+J58+J62+J66</f>
        <v>64667.930399999997</v>
      </c>
      <c r="K69" s="436"/>
      <c r="L69" s="492">
        <f>+L50+L54+L58+L62+L66</f>
        <v>14318.639200000005</v>
      </c>
      <c r="M69" s="440"/>
      <c r="N69" s="441">
        <f>+N50+N54+N58+N62+N66</f>
        <v>66578.73</v>
      </c>
      <c r="O69" s="436"/>
      <c r="P69" s="492">
        <f>+P50+P54+P58+P62+P66</f>
        <v>12202.164000000001</v>
      </c>
      <c r="Q69" s="440"/>
      <c r="R69" s="441">
        <f>+R50+R54+R58+R62+R66</f>
        <v>9806.9676799999997</v>
      </c>
      <c r="S69" s="436"/>
      <c r="T69" s="492">
        <f>+T50+T54+T58+T62+T66</f>
        <v>1024.9556480000006</v>
      </c>
      <c r="U69" s="440"/>
      <c r="V69" s="441">
        <f>+V66+V62+V58+V54+V50</f>
        <v>141053.62807999999</v>
      </c>
      <c r="W69" s="441"/>
      <c r="X69" s="441">
        <f>+X66+X62+X58+X54+X50</f>
        <v>27545.758848000005</v>
      </c>
      <c r="Y69" s="441"/>
      <c r="Z69" s="441">
        <f>+Z66+Z62+Z58+Z54+Z50</f>
        <v>168599.38692800002</v>
      </c>
      <c r="AA69" s="425" t="str">
        <f>IF(H69=Z69,"TRUE","FALSE")</f>
        <v>TRUE</v>
      </c>
    </row>
    <row r="70" spans="1:27" s="399" customFormat="1" ht="12.75" customHeight="1" x14ac:dyDescent="0.3">
      <c r="E70" s="430"/>
      <c r="F70" s="431"/>
      <c r="G70" s="468"/>
      <c r="H70" s="433"/>
      <c r="I70" s="469"/>
      <c r="J70" s="470"/>
      <c r="K70" s="430"/>
      <c r="L70" s="470"/>
      <c r="M70" s="469"/>
      <c r="N70" s="470"/>
      <c r="O70" s="430"/>
      <c r="P70" s="470"/>
      <c r="Q70" s="469"/>
      <c r="R70" s="470"/>
      <c r="S70" s="430"/>
      <c r="T70" s="470"/>
      <c r="U70" s="469"/>
      <c r="V70" s="408">
        <f>+J69+N69+R69</f>
        <v>141053.62807999999</v>
      </c>
      <c r="W70" s="409"/>
      <c r="X70" s="408">
        <f>+L69+P69+T69</f>
        <v>27545.758848000005</v>
      </c>
      <c r="Y70" s="411"/>
      <c r="Z70" s="428">
        <f>+V70+X70</f>
        <v>168599.38692799999</v>
      </c>
      <c r="AA70" s="425"/>
    </row>
    <row r="71" spans="1:27" ht="15" customHeight="1" x14ac:dyDescent="0.3">
      <c r="H71" s="433" t="s">
        <v>112</v>
      </c>
      <c r="I71" s="413"/>
      <c r="J71" s="414"/>
      <c r="K71" s="415" t="str">
        <f>IF(L71='Implementation Year 1 16 MO'!P15,"TRUE","FALSE")</f>
        <v>TRUE</v>
      </c>
      <c r="L71" s="416">
        <f>+J72+L72</f>
        <v>380025.98026666668</v>
      </c>
      <c r="M71" s="417"/>
      <c r="N71" s="418"/>
      <c r="O71" s="419" t="str">
        <f>IF(P71='Implementation Year 1 16 MO'!P32,"TRUE","FALSE")</f>
        <v>TRUE</v>
      </c>
      <c r="P71" s="420">
        <f>+N72+P72</f>
        <v>326959.99400000001</v>
      </c>
      <c r="Q71" s="421"/>
      <c r="R71" s="422"/>
      <c r="S71" s="423" t="str">
        <f>IF(T71='Implementation Year 1 16 MO'!P53,"TRUE","FALSE")</f>
        <v>TRUE</v>
      </c>
      <c r="T71" s="424">
        <f>+R72+T72</f>
        <v>56494.148928000002</v>
      </c>
      <c r="Z71" s="412">
        <f>+T71+P71+L71</f>
        <v>763480.1231946667</v>
      </c>
    </row>
    <row r="72" spans="1:27" s="399" customFormat="1" x14ac:dyDescent="0.3">
      <c r="A72" s="399" t="s">
        <v>176</v>
      </c>
      <c r="C72" s="399" t="s">
        <v>177</v>
      </c>
      <c r="E72" s="430"/>
      <c r="F72" s="431"/>
      <c r="G72" s="468"/>
      <c r="H72" s="433">
        <f>+H69+H44</f>
        <v>763480.12319466681</v>
      </c>
      <c r="I72" s="493"/>
      <c r="J72" s="494">
        <f>+J69+J44</f>
        <v>349270.40506666666</v>
      </c>
      <c r="K72" s="495"/>
      <c r="L72" s="494">
        <f>+L69+L44</f>
        <v>30755.575200000007</v>
      </c>
      <c r="M72" s="496"/>
      <c r="N72" s="497">
        <f>+N69+N44</f>
        <v>288507.83</v>
      </c>
      <c r="O72" s="498"/>
      <c r="P72" s="497">
        <f>+P69+P44</f>
        <v>38452.164000000004</v>
      </c>
      <c r="Q72" s="499"/>
      <c r="R72" s="500">
        <f>+R69+R44</f>
        <v>55469.19328</v>
      </c>
      <c r="S72" s="501"/>
      <c r="T72" s="500">
        <f>+T69+T44</f>
        <v>1024.9556480000006</v>
      </c>
      <c r="U72" s="502"/>
      <c r="V72" s="503">
        <f t="shared" ref="V72:V78" si="25">+J72+N72+R72</f>
        <v>693247.42834666674</v>
      </c>
      <c r="W72" s="504"/>
      <c r="X72" s="503">
        <f t="shared" ref="X72:X78" si="26">+L72+P72+T72</f>
        <v>70232.694848000014</v>
      </c>
      <c r="Y72" s="505"/>
      <c r="Z72" s="506">
        <f t="shared" ref="Z72:Z78" si="27">+V72+X72</f>
        <v>763480.12319466681</v>
      </c>
      <c r="AA72" s="425" t="str">
        <f>IF(H72=Z72,"TRUE","FALSE")</f>
        <v>TRUE</v>
      </c>
    </row>
    <row r="73" spans="1:27" x14ac:dyDescent="0.3">
      <c r="E73" s="409" t="s">
        <v>1</v>
      </c>
      <c r="H73" s="427">
        <f>+H37+H38+H50</f>
        <v>184908.14620800002</v>
      </c>
      <c r="J73" s="408">
        <f>+J37+J50</f>
        <v>108542.0232</v>
      </c>
      <c r="L73" s="408">
        <f>+L37+L50</f>
        <v>13629.564480000003</v>
      </c>
      <c r="N73" s="408">
        <f>+N37+N50</f>
        <v>45500</v>
      </c>
      <c r="P73" s="408">
        <f>+P37+P50</f>
        <v>2800.0000000000005</v>
      </c>
      <c r="R73" s="408">
        <f>+R37+R38+R50</f>
        <v>13982.26528</v>
      </c>
      <c r="T73" s="408">
        <f>+T37+T50</f>
        <v>454.29324800000012</v>
      </c>
      <c r="V73" s="408">
        <f t="shared" si="25"/>
        <v>168024.28847999999</v>
      </c>
      <c r="X73" s="408">
        <f t="shared" si="26"/>
        <v>16883.857728000006</v>
      </c>
      <c r="Z73" s="428">
        <f t="shared" si="27"/>
        <v>184908.14620799999</v>
      </c>
    </row>
    <row r="74" spans="1:27" x14ac:dyDescent="0.3">
      <c r="E74" s="409" t="s">
        <v>7</v>
      </c>
      <c r="H74" s="427">
        <f>+H39+H54</f>
        <v>167528.60631999999</v>
      </c>
      <c r="J74" s="408">
        <f>+J39+J54</f>
        <v>87299.971199999985</v>
      </c>
      <c r="L74" s="408">
        <f>+L39+L54</f>
        <v>9951.4507200000044</v>
      </c>
      <c r="N74" s="408">
        <f>+N39+N54</f>
        <v>49632.83</v>
      </c>
      <c r="P74" s="408">
        <f>+P39+P54</f>
        <v>1527.1640000000014</v>
      </c>
      <c r="R74" s="408">
        <f>+R39+R54</f>
        <v>18546.527999999998</v>
      </c>
      <c r="T74" s="408">
        <f>+T39+T54</f>
        <v>570.6624000000005</v>
      </c>
      <c r="U74" s="507" t="s">
        <v>178</v>
      </c>
      <c r="V74" s="508">
        <f t="shared" si="25"/>
        <v>155479.32919999998</v>
      </c>
      <c r="X74" s="408">
        <f t="shared" si="26"/>
        <v>12049.277120000006</v>
      </c>
      <c r="Z74" s="428">
        <f t="shared" si="27"/>
        <v>167528.60631999999</v>
      </c>
    </row>
    <row r="75" spans="1:27" x14ac:dyDescent="0.3">
      <c r="E75" s="409" t="s">
        <v>9</v>
      </c>
      <c r="H75" s="427">
        <f>+H40+H58+H41</f>
        <v>183543.37066666668</v>
      </c>
      <c r="J75" s="408">
        <f>+J40+J58+J41</f>
        <v>153428.41066666666</v>
      </c>
      <c r="L75" s="408">
        <f>+L40+L58+L41</f>
        <v>7174.56</v>
      </c>
      <c r="N75" s="408">
        <f>+N40+N58+N41</f>
        <v>0</v>
      </c>
      <c r="P75" s="408">
        <f>+P40+P58+P41</f>
        <v>0</v>
      </c>
      <c r="R75" s="408">
        <f>+R40+R58+R41</f>
        <v>22940.400000000001</v>
      </c>
      <c r="T75" s="408">
        <f>+T40+T58+T40</f>
        <v>0</v>
      </c>
      <c r="U75" s="507" t="s">
        <v>178</v>
      </c>
      <c r="V75" s="508">
        <f t="shared" si="25"/>
        <v>176368.81066666666</v>
      </c>
      <c r="X75" s="408">
        <f t="shared" si="26"/>
        <v>7174.56</v>
      </c>
      <c r="Z75" s="428">
        <f t="shared" si="27"/>
        <v>183543.37066666665</v>
      </c>
    </row>
    <row r="76" spans="1:27" x14ac:dyDescent="0.3">
      <c r="E76" s="409" t="s">
        <v>11</v>
      </c>
      <c r="H76" s="427">
        <f>+H42+H62</f>
        <v>113750</v>
      </c>
      <c r="J76" s="408">
        <f>+J42+J62</f>
        <v>0</v>
      </c>
      <c r="L76" s="408">
        <f>+L42+L62</f>
        <v>0</v>
      </c>
      <c r="N76" s="408">
        <f>+N42+N62</f>
        <v>96687.5</v>
      </c>
      <c r="P76" s="408">
        <f>+P42+P62</f>
        <v>17062.5</v>
      </c>
      <c r="R76" s="408">
        <f>+R42+R62</f>
        <v>0</v>
      </c>
      <c r="T76" s="408">
        <f>+T42+T62</f>
        <v>0</v>
      </c>
      <c r="U76" s="507" t="s">
        <v>178</v>
      </c>
      <c r="V76" s="508">
        <f t="shared" si="25"/>
        <v>96687.5</v>
      </c>
      <c r="X76" s="408">
        <f t="shared" si="26"/>
        <v>17062.5</v>
      </c>
      <c r="Z76" s="428">
        <f t="shared" si="27"/>
        <v>113750</v>
      </c>
    </row>
    <row r="77" spans="1:27" x14ac:dyDescent="0.3">
      <c r="E77" s="409" t="s">
        <v>13</v>
      </c>
      <c r="H77" s="427">
        <f>+H43+H66</f>
        <v>113750</v>
      </c>
      <c r="J77" s="408">
        <f>+J43+J66</f>
        <v>0</v>
      </c>
      <c r="L77" s="408">
        <f>+L43+L66</f>
        <v>0</v>
      </c>
      <c r="N77" s="408">
        <f>+N43+N66</f>
        <v>96687.5</v>
      </c>
      <c r="P77" s="408">
        <f>+P43+P66</f>
        <v>17062.5</v>
      </c>
      <c r="R77" s="408">
        <f>+R43+R66</f>
        <v>0</v>
      </c>
      <c r="T77" s="408">
        <f>+T43+T66</f>
        <v>0</v>
      </c>
      <c r="U77" s="507" t="s">
        <v>178</v>
      </c>
      <c r="V77" s="508">
        <f t="shared" si="25"/>
        <v>96687.5</v>
      </c>
      <c r="X77" s="408">
        <f t="shared" si="26"/>
        <v>17062.5</v>
      </c>
      <c r="Z77" s="428">
        <f t="shared" si="27"/>
        <v>113750</v>
      </c>
    </row>
    <row r="78" spans="1:27" x14ac:dyDescent="0.3">
      <c r="B78" s="425" t="s">
        <v>179</v>
      </c>
      <c r="H78" s="427">
        <f>SUM(H73:H77)</f>
        <v>763480.1231946667</v>
      </c>
      <c r="J78" s="408">
        <f>SUM(J73:J77)</f>
        <v>349270.40506666666</v>
      </c>
      <c r="L78" s="408">
        <f>SUM(L73:L77)</f>
        <v>30755.57520000001</v>
      </c>
      <c r="N78" s="408">
        <f>SUM(N73:N77)</f>
        <v>288507.83</v>
      </c>
      <c r="P78" s="408">
        <f>SUM(P73:P77)</f>
        <v>38452.164000000004</v>
      </c>
      <c r="R78" s="408">
        <f>SUM(R73:R77)</f>
        <v>55469.19328</v>
      </c>
      <c r="T78" s="408">
        <f>SUM(T73:T77)</f>
        <v>1024.9556480000006</v>
      </c>
      <c r="V78" s="408">
        <f t="shared" si="25"/>
        <v>693247.42834666674</v>
      </c>
      <c r="X78" s="408">
        <f t="shared" si="26"/>
        <v>70232.694848000014</v>
      </c>
      <c r="Z78" s="428">
        <f t="shared" si="27"/>
        <v>763480.12319466681</v>
      </c>
    </row>
    <row r="81" spans="5:27" s="399" customFormat="1" x14ac:dyDescent="0.3">
      <c r="E81" s="430"/>
      <c r="F81" s="431"/>
      <c r="G81" s="468"/>
      <c r="H81" s="433"/>
      <c r="I81" s="469"/>
      <c r="J81" s="470"/>
      <c r="K81" s="430"/>
      <c r="L81" s="470"/>
      <c r="M81" s="469"/>
      <c r="N81" s="470"/>
      <c r="O81" s="430"/>
      <c r="P81" s="470"/>
      <c r="Q81" s="469"/>
      <c r="R81" s="470"/>
      <c r="S81" s="430"/>
      <c r="T81" s="470"/>
      <c r="U81" s="469"/>
      <c r="V81" s="470"/>
      <c r="W81" s="430"/>
      <c r="X81" s="470"/>
      <c r="Y81" s="434"/>
      <c r="Z81" s="435"/>
      <c r="AA81" s="425"/>
    </row>
  </sheetData>
  <mergeCells count="37">
    <mergeCell ref="E2:H2"/>
    <mergeCell ref="I2:L2"/>
    <mergeCell ref="I3:J3"/>
    <mergeCell ref="K3:L3"/>
    <mergeCell ref="M2:P2"/>
    <mergeCell ref="M3:N3"/>
    <mergeCell ref="O3:P3"/>
    <mergeCell ref="Q2:T2"/>
    <mergeCell ref="Q3:R3"/>
    <mergeCell ref="S3:T3"/>
    <mergeCell ref="U3:V3"/>
    <mergeCell ref="W3:X3"/>
    <mergeCell ref="U2:Z2"/>
    <mergeCell ref="I46:L46"/>
    <mergeCell ref="M46:P46"/>
    <mergeCell ref="Q46:T46"/>
    <mergeCell ref="U46:Z46"/>
    <mergeCell ref="I36:J36"/>
    <mergeCell ref="K36:L36"/>
    <mergeCell ref="W36:X36"/>
    <mergeCell ref="I35:L35"/>
    <mergeCell ref="M35:P35"/>
    <mergeCell ref="Q35:T35"/>
    <mergeCell ref="U35:Z35"/>
    <mergeCell ref="M36:N36"/>
    <mergeCell ref="O36:P36"/>
    <mergeCell ref="Q36:R36"/>
    <mergeCell ref="S36:T36"/>
    <mergeCell ref="U36:V36"/>
    <mergeCell ref="U47:V47"/>
    <mergeCell ref="W47:X47"/>
    <mergeCell ref="I47:J47"/>
    <mergeCell ref="K47:L47"/>
    <mergeCell ref="M47:N47"/>
    <mergeCell ref="O47:P47"/>
    <mergeCell ref="Q47:R47"/>
    <mergeCell ref="S47:T47"/>
  </mergeCells>
  <pageMargins left="0.17" right="0.17" top="0.31" bottom="0.17" header="0.3" footer="0.2"/>
  <pageSetup scale="70" orientation="landscape" r:id="rId1"/>
  <rowBreaks count="1" manualBreakCount="1">
    <brk id="34" max="16383" man="1"/>
  </rowBreaks>
  <colBreaks count="1" manualBreakCount="1">
    <brk id="2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9"/>
  <sheetViews>
    <sheetView topLeftCell="A41" workbookViewId="0">
      <selection activeCell="G29" sqref="G29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181</v>
      </c>
    </row>
    <row r="3" spans="1:27" x14ac:dyDescent="0.35">
      <c r="A3" s="144" t="s">
        <v>182</v>
      </c>
      <c r="D3" s="143" t="s">
        <v>183</v>
      </c>
      <c r="E3" s="593" t="s">
        <v>104</v>
      </c>
      <c r="F3" s="593"/>
      <c r="G3" s="593"/>
      <c r="H3" s="593"/>
      <c r="I3" s="594" t="s">
        <v>105</v>
      </c>
      <c r="J3" s="595"/>
      <c r="K3" s="595"/>
      <c r="L3" s="595"/>
      <c r="M3" s="596" t="s">
        <v>106</v>
      </c>
      <c r="N3" s="597"/>
      <c r="O3" s="597"/>
      <c r="P3" s="597"/>
      <c r="Q3" s="598" t="s">
        <v>107</v>
      </c>
      <c r="R3" s="599"/>
      <c r="S3" s="599"/>
      <c r="T3" s="599"/>
      <c r="U3" s="600" t="s">
        <v>108</v>
      </c>
      <c r="V3" s="601"/>
      <c r="W3" s="601"/>
      <c r="X3" s="601"/>
      <c r="Y3" s="601"/>
      <c r="Z3" s="601"/>
    </row>
    <row r="4" spans="1:27" s="4" customFormat="1" x14ac:dyDescent="0.35">
      <c r="A4" s="144"/>
      <c r="B4" s="143"/>
      <c r="E4" s="132"/>
      <c r="F4" s="149"/>
      <c r="G4" s="307" t="s">
        <v>184</v>
      </c>
      <c r="H4" s="134"/>
      <c r="I4" s="602" t="s">
        <v>110</v>
      </c>
      <c r="J4" s="593"/>
      <c r="K4" s="593" t="s">
        <v>111</v>
      </c>
      <c r="L4" s="593"/>
      <c r="M4" s="602" t="s">
        <v>110</v>
      </c>
      <c r="N4" s="593"/>
      <c r="O4" s="593" t="s">
        <v>111</v>
      </c>
      <c r="P4" s="593"/>
      <c r="Q4" s="602" t="s">
        <v>110</v>
      </c>
      <c r="R4" s="593"/>
      <c r="S4" s="593" t="s">
        <v>111</v>
      </c>
      <c r="T4" s="593"/>
      <c r="U4" s="602" t="s">
        <v>110</v>
      </c>
      <c r="V4" s="593"/>
      <c r="W4" s="593" t="s">
        <v>111</v>
      </c>
      <c r="X4" s="593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245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0.25</v>
      </c>
      <c r="F6" s="115">
        <v>12</v>
      </c>
      <c r="G6" s="119">
        <f>+'STAFFING WORKSHEET-YR01 16 MON'!G5*1.02</f>
        <v>6421.2467999999999</v>
      </c>
      <c r="H6" s="133">
        <f>+E6*F6*G6</f>
        <v>19263.740399999999</v>
      </c>
      <c r="I6" s="123">
        <v>0.15</v>
      </c>
      <c r="J6" s="136">
        <f>+I6/E6*H6</f>
        <v>11558.244239999998</v>
      </c>
      <c r="K6" s="121">
        <v>0.1</v>
      </c>
      <c r="L6" s="136">
        <f>+K6/E6*H6</f>
        <v>7705.4961599999997</v>
      </c>
      <c r="U6" s="123">
        <f>+I6+M6+Q6</f>
        <v>0.15</v>
      </c>
      <c r="V6" s="136">
        <f>+J6+N6+R6</f>
        <v>11558.244239999998</v>
      </c>
      <c r="W6" s="121">
        <f>+K6+O6+S6</f>
        <v>0.1</v>
      </c>
      <c r="X6" s="136">
        <f>+L6+P6+T6</f>
        <v>7705.4961599999997</v>
      </c>
      <c r="Y6" s="120">
        <f>+U6+W6</f>
        <v>0.25</v>
      </c>
      <c r="Z6" s="138">
        <f>+V6+X6</f>
        <v>19263.740399999999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0.25</v>
      </c>
      <c r="F7" s="115">
        <v>12</v>
      </c>
      <c r="G7" s="119">
        <f>+'STAFFING WORKSHEET-YR01 16 MON'!G6*1.02</f>
        <v>6912.8765999999996</v>
      </c>
      <c r="H7" s="133">
        <f t="shared" ref="H7:H29" si="0">+E7*F7*G7</f>
        <v>20738.629799999999</v>
      </c>
      <c r="I7" s="123">
        <v>0.15</v>
      </c>
      <c r="J7" s="136">
        <f t="shared" ref="J7:J16" si="1">+I7/E7*H7</f>
        <v>12443.177879999999</v>
      </c>
      <c r="K7" s="121">
        <v>0.1</v>
      </c>
      <c r="L7" s="136">
        <f t="shared" ref="L7:L16" si="2">+K7/E7*H7</f>
        <v>8295.4519199999995</v>
      </c>
      <c r="U7" s="123">
        <f t="shared" ref="U7:X17" si="3">+I7+M7+Q7</f>
        <v>0.15</v>
      </c>
      <c r="V7" s="136">
        <f t="shared" si="3"/>
        <v>12443.177879999999</v>
      </c>
      <c r="W7" s="121">
        <f t="shared" si="3"/>
        <v>0.1</v>
      </c>
      <c r="X7" s="136">
        <f t="shared" si="3"/>
        <v>8295.4519199999995</v>
      </c>
      <c r="Y7" s="120">
        <f t="shared" ref="Y7:Z17" si="4">+U7+W7</f>
        <v>0.25</v>
      </c>
      <c r="Z7" s="138">
        <f t="shared" si="4"/>
        <v>20738.629799999999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0.2</v>
      </c>
      <c r="F8" s="115">
        <v>12</v>
      </c>
      <c r="G8" s="119">
        <f>+'STAFFING WORKSHEET-YR01 16 MON'!G7*1.02</f>
        <v>7622.97</v>
      </c>
      <c r="H8" s="133">
        <f t="shared" si="0"/>
        <v>18295.128000000004</v>
      </c>
      <c r="I8" s="123">
        <v>0.1</v>
      </c>
      <c r="J8" s="136">
        <f t="shared" si="1"/>
        <v>9147.5640000000021</v>
      </c>
      <c r="K8" s="121">
        <v>0.1</v>
      </c>
      <c r="L8" s="136">
        <f t="shared" si="2"/>
        <v>9147.5640000000021</v>
      </c>
      <c r="U8" s="123">
        <f t="shared" si="3"/>
        <v>0.1</v>
      </c>
      <c r="V8" s="136">
        <f t="shared" si="3"/>
        <v>9147.5640000000021</v>
      </c>
      <c r="W8" s="121">
        <f t="shared" si="3"/>
        <v>0.1</v>
      </c>
      <c r="X8" s="136">
        <f t="shared" si="3"/>
        <v>9147.5640000000021</v>
      </c>
      <c r="Y8" s="120">
        <f t="shared" si="4"/>
        <v>0.2</v>
      </c>
      <c r="Z8" s="138">
        <f t="shared" si="4"/>
        <v>18295.128000000004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WORKSHEET-YR01 16 MON'!G8*1.02</f>
        <v>3637.9728</v>
      </c>
      <c r="H9" s="133">
        <f t="shared" si="0"/>
        <v>43655.673600000002</v>
      </c>
      <c r="I9" s="123">
        <v>0.75</v>
      </c>
      <c r="J9" s="136">
        <f t="shared" si="1"/>
        <v>32741.7552</v>
      </c>
      <c r="K9" s="121">
        <v>0</v>
      </c>
      <c r="L9" s="136">
        <f t="shared" si="2"/>
        <v>0</v>
      </c>
      <c r="Q9" s="123">
        <v>0.25</v>
      </c>
      <c r="R9" s="136">
        <f>+Q9/E9*H9</f>
        <v>10913.9184</v>
      </c>
      <c r="S9" s="121">
        <v>0</v>
      </c>
      <c r="T9" s="136">
        <f>+S9/E9*H9</f>
        <v>0</v>
      </c>
      <c r="U9" s="123">
        <f t="shared" si="3"/>
        <v>1</v>
      </c>
      <c r="V9" s="136">
        <f t="shared" si="3"/>
        <v>43655.673600000002</v>
      </c>
      <c r="W9" s="121">
        <f t="shared" si="3"/>
        <v>0</v>
      </c>
      <c r="X9" s="136">
        <f t="shared" si="3"/>
        <v>0</v>
      </c>
      <c r="Y9" s="120">
        <f t="shared" si="4"/>
        <v>1</v>
      </c>
      <c r="Z9" s="138">
        <f t="shared" si="4"/>
        <v>43655.673600000002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WORKSHEET-YR01 16 MON'!G9*1.02</f>
        <v>3845.0634</v>
      </c>
      <c r="H10" s="133">
        <f t="shared" si="0"/>
        <v>46140.760800000004</v>
      </c>
      <c r="I10" s="123">
        <v>1</v>
      </c>
      <c r="J10" s="136">
        <f t="shared" si="1"/>
        <v>46140.760800000004</v>
      </c>
      <c r="K10" s="121">
        <v>0</v>
      </c>
      <c r="L10" s="136">
        <f t="shared" si="2"/>
        <v>0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U10" s="123">
        <f t="shared" si="3"/>
        <v>1</v>
      </c>
      <c r="V10" s="136">
        <f t="shared" si="3"/>
        <v>46140.760800000004</v>
      </c>
      <c r="W10" s="121">
        <f t="shared" si="3"/>
        <v>0</v>
      </c>
      <c r="X10" s="136">
        <f t="shared" si="3"/>
        <v>0</v>
      </c>
      <c r="Y10" s="120">
        <f t="shared" si="4"/>
        <v>1</v>
      </c>
      <c r="Z10" s="138">
        <f t="shared" si="4"/>
        <v>46140.760800000004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15">
        <v>12</v>
      </c>
      <c r="G11" s="119">
        <f>+'STAFFING WORKSHEET-YR01 16 MON'!G10*1.02</f>
        <v>2785.62</v>
      </c>
      <c r="H11" s="133">
        <f t="shared" si="0"/>
        <v>33427.440000000002</v>
      </c>
      <c r="I11" s="123">
        <v>0.5</v>
      </c>
      <c r="J11" s="136">
        <f t="shared" si="1"/>
        <v>16713.72</v>
      </c>
      <c r="K11" s="121">
        <v>0</v>
      </c>
      <c r="L11" s="136">
        <f t="shared" si="2"/>
        <v>0</v>
      </c>
      <c r="Q11" s="123">
        <v>0.5</v>
      </c>
      <c r="R11" s="136">
        <f>+Q11/E11*H11</f>
        <v>16713.72</v>
      </c>
      <c r="S11" s="121">
        <v>0</v>
      </c>
      <c r="T11" s="136">
        <f>+S11/E11*H11</f>
        <v>0</v>
      </c>
      <c r="U11" s="123">
        <f t="shared" si="3"/>
        <v>1</v>
      </c>
      <c r="V11" s="136">
        <f t="shared" si="3"/>
        <v>33427.440000000002</v>
      </c>
      <c r="W11" s="121">
        <f t="shared" si="3"/>
        <v>0</v>
      </c>
      <c r="X11" s="136">
        <f t="shared" si="3"/>
        <v>0</v>
      </c>
      <c r="Y11" s="120">
        <f t="shared" si="4"/>
        <v>1</v>
      </c>
      <c r="Z11" s="138">
        <f t="shared" si="4"/>
        <v>33427.440000000002</v>
      </c>
      <c r="AA11" s="46" t="str">
        <f t="shared" si="5"/>
        <v>TRUE</v>
      </c>
    </row>
    <row r="12" spans="1:27" s="46" customFormat="1" ht="18" customHeight="1" x14ac:dyDescent="0.35">
      <c r="A12" s="235" t="s">
        <v>9</v>
      </c>
      <c r="B12" s="235" t="s">
        <v>20</v>
      </c>
      <c r="C12" s="46" t="s">
        <v>135</v>
      </c>
      <c r="D12" s="46" t="str">
        <f>+'STAFFING WORKSHEET-YR01 16 MON'!D11</f>
        <v>Social-Emotional Coach</v>
      </c>
      <c r="E12" s="236">
        <v>1</v>
      </c>
      <c r="F12" s="115">
        <v>12</v>
      </c>
      <c r="G12" s="340">
        <f>+'STAFFING WORKSHEET-YR01 16 MON'!G11*1.02</f>
        <v>2332.4</v>
      </c>
      <c r="H12" s="238">
        <f t="shared" si="0"/>
        <v>27988.800000000003</v>
      </c>
      <c r="I12" s="239">
        <v>1</v>
      </c>
      <c r="J12" s="240">
        <f t="shared" si="1"/>
        <v>27988.800000000003</v>
      </c>
      <c r="K12" s="236">
        <v>0</v>
      </c>
      <c r="L12" s="240">
        <f t="shared" si="2"/>
        <v>0</v>
      </c>
      <c r="M12" s="239"/>
      <c r="N12" s="240"/>
      <c r="O12" s="236"/>
      <c r="P12" s="240"/>
      <c r="Q12" s="239"/>
      <c r="R12" s="240"/>
      <c r="S12" s="236"/>
      <c r="T12" s="240"/>
      <c r="U12" s="239">
        <f t="shared" si="3"/>
        <v>1</v>
      </c>
      <c r="V12" s="240">
        <f t="shared" si="3"/>
        <v>27988.800000000003</v>
      </c>
      <c r="W12" s="236">
        <f t="shared" si="3"/>
        <v>0</v>
      </c>
      <c r="X12" s="240">
        <f t="shared" si="3"/>
        <v>0</v>
      </c>
      <c r="Y12" s="241">
        <f t="shared" si="4"/>
        <v>1</v>
      </c>
      <c r="Z12" s="242">
        <f t="shared" si="4"/>
        <v>27988.800000000003</v>
      </c>
      <c r="AA12" s="46" t="str">
        <f t="shared" si="5"/>
        <v>TRUE</v>
      </c>
    </row>
    <row r="13" spans="1:27" s="373" customFormat="1" ht="18" customHeight="1" x14ac:dyDescent="0.35">
      <c r="A13" s="372" t="s">
        <v>1</v>
      </c>
      <c r="B13" s="372" t="s">
        <v>20</v>
      </c>
      <c r="C13" s="373" t="s">
        <v>137</v>
      </c>
      <c r="D13" s="373" t="s">
        <v>138</v>
      </c>
      <c r="E13" s="374">
        <v>0.5</v>
      </c>
      <c r="F13" s="375">
        <v>12</v>
      </c>
      <c r="G13" s="376">
        <f>+'STAFFING WORKSHEET-YR01 16 MON'!G12*1.02</f>
        <v>4533.3389999999999</v>
      </c>
      <c r="H13" s="377">
        <f t="shared" si="0"/>
        <v>27200.034</v>
      </c>
      <c r="I13" s="378">
        <v>0.5</v>
      </c>
      <c r="J13" s="379">
        <f t="shared" si="1"/>
        <v>27200.034</v>
      </c>
      <c r="K13" s="374">
        <v>0</v>
      </c>
      <c r="L13" s="379">
        <f t="shared" si="2"/>
        <v>0</v>
      </c>
      <c r="M13" s="378"/>
      <c r="N13" s="379"/>
      <c r="O13" s="374"/>
      <c r="P13" s="379"/>
      <c r="Q13" s="378"/>
      <c r="R13" s="379"/>
      <c r="S13" s="374"/>
      <c r="T13" s="379"/>
      <c r="U13" s="378">
        <f t="shared" si="3"/>
        <v>0.5</v>
      </c>
      <c r="V13" s="379">
        <f t="shared" si="3"/>
        <v>27200.034</v>
      </c>
      <c r="W13" s="374">
        <f t="shared" si="3"/>
        <v>0</v>
      </c>
      <c r="X13" s="379">
        <f t="shared" si="3"/>
        <v>0</v>
      </c>
      <c r="Y13" s="380">
        <f t="shared" si="4"/>
        <v>0.5</v>
      </c>
      <c r="Z13" s="381">
        <f t="shared" si="4"/>
        <v>27200.034</v>
      </c>
      <c r="AA13" s="373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>
        <v>0</v>
      </c>
      <c r="F14" s="317"/>
      <c r="G14" s="385">
        <f>+'STAFFING WORKSHEET-YR01 16 MON'!G13*1.02*0</f>
        <v>0</v>
      </c>
      <c r="H14" s="388">
        <f t="shared" si="0"/>
        <v>0</v>
      </c>
      <c r="I14" s="319"/>
      <c r="J14" s="320"/>
      <c r="K14" s="316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0.1</v>
      </c>
      <c r="F15" s="115">
        <v>12</v>
      </c>
      <c r="G15" s="119">
        <f>+'STAFFING WORKSHEET-YR01 16 MON'!G14*1.02</f>
        <v>2492.4822000000004</v>
      </c>
      <c r="H15" s="133">
        <f t="shared" si="0"/>
        <v>2990.9786400000007</v>
      </c>
      <c r="I15" s="123">
        <v>0.1</v>
      </c>
      <c r="J15" s="136">
        <f t="shared" si="1"/>
        <v>2990.9786400000007</v>
      </c>
      <c r="K15" s="121">
        <v>0</v>
      </c>
      <c r="L15" s="136">
        <f t="shared" si="2"/>
        <v>0</v>
      </c>
      <c r="U15" s="123">
        <f t="shared" si="3"/>
        <v>0.1</v>
      </c>
      <c r="V15" s="136">
        <f t="shared" si="3"/>
        <v>2990.9786400000007</v>
      </c>
      <c r="W15" s="121">
        <f t="shared" si="3"/>
        <v>0</v>
      </c>
      <c r="X15" s="136">
        <f t="shared" si="3"/>
        <v>0</v>
      </c>
      <c r="Y15" s="120">
        <f t="shared" si="4"/>
        <v>0.1</v>
      </c>
      <c r="Z15" s="138">
        <f t="shared" si="4"/>
        <v>2990.9786400000007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0.1</v>
      </c>
      <c r="F16" s="115">
        <v>12</v>
      </c>
      <c r="G16" s="119">
        <f>+'STAFFING WORKSHEET-YR01 16 MON'!G15*1.02</f>
        <v>1700.0136</v>
      </c>
      <c r="H16" s="133">
        <f t="shared" si="0"/>
        <v>2040.0163200000004</v>
      </c>
      <c r="I16" s="123">
        <v>0.1</v>
      </c>
      <c r="J16" s="136">
        <f t="shared" si="1"/>
        <v>2040.0163200000004</v>
      </c>
      <c r="K16" s="121">
        <v>0</v>
      </c>
      <c r="L16" s="136">
        <f t="shared" si="2"/>
        <v>0</v>
      </c>
      <c r="U16" s="123">
        <f t="shared" si="3"/>
        <v>0.1</v>
      </c>
      <c r="V16" s="136">
        <f t="shared" si="3"/>
        <v>2040.0163200000004</v>
      </c>
      <c r="W16" s="121">
        <f t="shared" si="3"/>
        <v>0</v>
      </c>
      <c r="X16" s="136">
        <f t="shared" si="3"/>
        <v>0</v>
      </c>
      <c r="Y16" s="120">
        <f t="shared" si="4"/>
        <v>0.1</v>
      </c>
      <c r="Z16" s="138">
        <f t="shared" si="4"/>
        <v>2040.0163200000004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>
        <v>0</v>
      </c>
      <c r="F17" s="317"/>
      <c r="G17" s="385">
        <f>+'STAFFING WORKSHEET-YR01 16 MON'!G16*1.02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21">
        <v>1</v>
      </c>
      <c r="F19" s="115">
        <v>12</v>
      </c>
      <c r="G19" s="119">
        <f>+'STAFFING WORKSHEET-YR01 16 MON'!G18*1.02</f>
        <v>3825</v>
      </c>
      <c r="H19" s="133">
        <f t="shared" si="0"/>
        <v>45900</v>
      </c>
      <c r="M19" s="142">
        <v>0.5</v>
      </c>
      <c r="N19" s="136">
        <f t="shared" si="6"/>
        <v>22950</v>
      </c>
      <c r="O19" s="141">
        <v>0.5</v>
      </c>
      <c r="P19" s="136">
        <f t="shared" si="7"/>
        <v>22950</v>
      </c>
      <c r="U19" s="123">
        <f t="shared" ref="U19:X29" si="8">+I19+M19+Q19</f>
        <v>0.5</v>
      </c>
      <c r="V19" s="136">
        <f t="shared" si="8"/>
        <v>22950</v>
      </c>
      <c r="W19" s="121">
        <f t="shared" si="8"/>
        <v>0.5</v>
      </c>
      <c r="X19" s="136">
        <f t="shared" si="8"/>
        <v>22950</v>
      </c>
      <c r="Y19" s="120">
        <f t="shared" ref="Y19:Z29" si="9">+U19+W19</f>
        <v>1</v>
      </c>
      <c r="Z19" s="138">
        <f t="shared" si="9"/>
        <v>45900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21">
        <v>1</v>
      </c>
      <c r="F20" s="115">
        <v>12</v>
      </c>
      <c r="G20" s="119">
        <f>+'STAFFING WORKSHEET-YR01 16 MON'!G19*1.02</f>
        <v>3825</v>
      </c>
      <c r="H20" s="133">
        <f t="shared" si="0"/>
        <v>45900</v>
      </c>
      <c r="M20" s="142">
        <v>0.5</v>
      </c>
      <c r="N20" s="136">
        <f t="shared" si="6"/>
        <v>22950</v>
      </c>
      <c r="O20" s="141">
        <v>0.5</v>
      </c>
      <c r="P20" s="136">
        <f t="shared" si="7"/>
        <v>22950</v>
      </c>
      <c r="U20" s="123">
        <f t="shared" si="8"/>
        <v>0.5</v>
      </c>
      <c r="V20" s="136">
        <f t="shared" si="8"/>
        <v>22950</v>
      </c>
      <c r="W20" s="121">
        <f t="shared" si="8"/>
        <v>0.5</v>
      </c>
      <c r="X20" s="136">
        <f t="shared" si="8"/>
        <v>22950</v>
      </c>
      <c r="Y20" s="120">
        <f t="shared" si="9"/>
        <v>1</v>
      </c>
      <c r="Z20" s="138">
        <f t="shared" si="9"/>
        <v>45900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15">
        <v>12</v>
      </c>
      <c r="G21" s="340">
        <f>+'STAFFING WORKSHEET-YR01 16 MON'!G20*1.02</f>
        <v>8500.68</v>
      </c>
      <c r="H21" s="229">
        <f>+E21*F21*G21</f>
        <v>25502.04</v>
      </c>
      <c r="I21" s="230"/>
      <c r="J21" s="231"/>
      <c r="K21" s="228"/>
      <c r="L21" s="231"/>
      <c r="M21" s="230">
        <v>0.25</v>
      </c>
      <c r="N21" s="231">
        <f>+M21/E21*H21</f>
        <v>25502.04</v>
      </c>
      <c r="O21" s="228">
        <v>0</v>
      </c>
      <c r="P21" s="231">
        <f>+O21/E21*H21</f>
        <v>0</v>
      </c>
      <c r="Q21" s="230"/>
      <c r="R21" s="231"/>
      <c r="S21" s="228"/>
      <c r="T21" s="231"/>
      <c r="U21" s="230">
        <f>+I21+M21+Q21</f>
        <v>0.25</v>
      </c>
      <c r="V21" s="231">
        <f>+J21+N21+R21</f>
        <v>25502.04</v>
      </c>
      <c r="W21" s="228">
        <f>+K21+O21+S21</f>
        <v>0</v>
      </c>
      <c r="X21" s="231">
        <f>+L21+P21+T21</f>
        <v>0</v>
      </c>
      <c r="Y21" s="232">
        <f>+U21+W21</f>
        <v>0.25</v>
      </c>
      <c r="Z21" s="233">
        <f>+V21+X21</f>
        <v>25502.04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WORKSHEET-YR01 16 MON'!G21*1.02</f>
        <v>2550</v>
      </c>
      <c r="H22" s="133">
        <f t="shared" si="0"/>
        <v>30600</v>
      </c>
      <c r="M22" s="142">
        <v>0.75</v>
      </c>
      <c r="N22" s="136">
        <f t="shared" si="6"/>
        <v>22950</v>
      </c>
      <c r="O22" s="141">
        <v>0.25</v>
      </c>
      <c r="P22" s="136">
        <f t="shared" si="7"/>
        <v>7650</v>
      </c>
      <c r="U22" s="123">
        <f t="shared" si="8"/>
        <v>0.75</v>
      </c>
      <c r="V22" s="136">
        <f t="shared" si="8"/>
        <v>22950</v>
      </c>
      <c r="W22" s="121">
        <f t="shared" si="8"/>
        <v>0.25</v>
      </c>
      <c r="X22" s="136">
        <f t="shared" si="8"/>
        <v>7650</v>
      </c>
      <c r="Y22" s="120">
        <f t="shared" si="9"/>
        <v>1</v>
      </c>
      <c r="Z22" s="138">
        <f t="shared" si="9"/>
        <v>30600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WORKSHEET-YR01 16 MON'!G22*1.02</f>
        <v>2550</v>
      </c>
      <c r="H23" s="133">
        <f t="shared" si="0"/>
        <v>30600</v>
      </c>
      <c r="M23" s="142">
        <v>0.75</v>
      </c>
      <c r="N23" s="136">
        <f t="shared" si="6"/>
        <v>22950</v>
      </c>
      <c r="O23" s="141">
        <v>0.25</v>
      </c>
      <c r="P23" s="136">
        <f t="shared" si="7"/>
        <v>7650</v>
      </c>
      <c r="U23" s="123">
        <f t="shared" si="8"/>
        <v>0.75</v>
      </c>
      <c r="V23" s="136">
        <f t="shared" si="8"/>
        <v>22950</v>
      </c>
      <c r="W23" s="121">
        <f t="shared" si="8"/>
        <v>0.25</v>
      </c>
      <c r="X23" s="136">
        <f t="shared" si="8"/>
        <v>7650</v>
      </c>
      <c r="Y23" s="120">
        <f t="shared" si="9"/>
        <v>1</v>
      </c>
      <c r="Z23" s="138">
        <f t="shared" si="9"/>
        <v>30600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WORKSHEET-YR01 16 MON'!G23*1.02</f>
        <v>2550</v>
      </c>
      <c r="H24" s="133">
        <f t="shared" si="0"/>
        <v>30600</v>
      </c>
      <c r="M24" s="142">
        <v>0.75</v>
      </c>
      <c r="N24" s="136">
        <f t="shared" si="6"/>
        <v>22950</v>
      </c>
      <c r="O24" s="141">
        <v>0.25</v>
      </c>
      <c r="P24" s="136">
        <f t="shared" si="7"/>
        <v>7650</v>
      </c>
      <c r="U24" s="123">
        <f t="shared" si="8"/>
        <v>0.75</v>
      </c>
      <c r="V24" s="136">
        <f t="shared" si="8"/>
        <v>22950</v>
      </c>
      <c r="W24" s="121">
        <f t="shared" si="8"/>
        <v>0.25</v>
      </c>
      <c r="X24" s="136">
        <f t="shared" si="8"/>
        <v>7650</v>
      </c>
      <c r="Y24" s="120">
        <f t="shared" si="9"/>
        <v>1</v>
      </c>
      <c r="Z24" s="138">
        <f t="shared" si="9"/>
        <v>30600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340">
        <f>+'STAFFING WORKSHEET-YR01 16 MON'!G24*1.02</f>
        <v>5002.335</v>
      </c>
      <c r="H25" s="133">
        <f t="shared" si="0"/>
        <v>6002.8020000000006</v>
      </c>
      <c r="M25" s="123">
        <v>0.1</v>
      </c>
      <c r="N25" s="136">
        <f t="shared" si="6"/>
        <v>6002.8020000000006</v>
      </c>
      <c r="O25" s="121">
        <v>0</v>
      </c>
      <c r="P25" s="136">
        <f t="shared" si="7"/>
        <v>0</v>
      </c>
      <c r="U25" s="123">
        <f t="shared" si="8"/>
        <v>0.1</v>
      </c>
      <c r="V25" s="136">
        <f t="shared" si="8"/>
        <v>6002.8020000000006</v>
      </c>
      <c r="W25" s="121">
        <f t="shared" si="8"/>
        <v>0</v>
      </c>
      <c r="X25" s="136">
        <f t="shared" si="8"/>
        <v>0</v>
      </c>
      <c r="Y25" s="120">
        <f t="shared" si="9"/>
        <v>0.1</v>
      </c>
      <c r="Z25" s="138">
        <f t="shared" si="9"/>
        <v>6002.8020000000006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15">
        <v>12</v>
      </c>
      <c r="G26" s="340">
        <f>+'STAFFING WORKSHEET-YR01 16 MON'!G25*1.02</f>
        <v>2550</v>
      </c>
      <c r="H26" s="229">
        <f>+E26*F26*G26</f>
        <v>7650</v>
      </c>
      <c r="I26" s="230"/>
      <c r="J26" s="231"/>
      <c r="K26" s="228"/>
      <c r="L26" s="231"/>
      <c r="M26" s="230">
        <v>0.25</v>
      </c>
      <c r="N26" s="231">
        <f t="shared" si="6"/>
        <v>7650</v>
      </c>
      <c r="O26" s="228">
        <v>0</v>
      </c>
      <c r="P26" s="231">
        <f t="shared" si="7"/>
        <v>0</v>
      </c>
      <c r="Q26" s="230"/>
      <c r="R26" s="231"/>
      <c r="S26" s="228"/>
      <c r="T26" s="231"/>
      <c r="U26" s="230">
        <f>+I26+M26+Q26</f>
        <v>0.25</v>
      </c>
      <c r="V26" s="231">
        <f>+J26+N26+R26</f>
        <v>7650</v>
      </c>
      <c r="W26" s="228">
        <f>+K26+O26+S26</f>
        <v>0</v>
      </c>
      <c r="X26" s="231">
        <f>+L26+P26+T26</f>
        <v>0</v>
      </c>
      <c r="Y26" s="232">
        <f>+U26+W26</f>
        <v>0.25</v>
      </c>
      <c r="Z26" s="233">
        <f>+V26+X26</f>
        <v>7650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21">
        <v>0.02</v>
      </c>
      <c r="F28" s="115">
        <v>12</v>
      </c>
      <c r="G28" s="119">
        <f>+'STAFFING WORKSHEET-YR01 16 MON'!G27*1.02</f>
        <v>6540.75</v>
      </c>
      <c r="H28" s="133">
        <f t="shared" si="0"/>
        <v>1569.78</v>
      </c>
      <c r="Q28" s="123">
        <v>0.02</v>
      </c>
      <c r="R28" s="136">
        <f>+Q28/E28*H28</f>
        <v>1569.78</v>
      </c>
      <c r="S28" s="121">
        <v>0</v>
      </c>
      <c r="T28" s="136">
        <f>+S28/E28*H28</f>
        <v>0</v>
      </c>
      <c r="U28" s="123">
        <f t="shared" si="8"/>
        <v>0.02</v>
      </c>
      <c r="V28" s="136">
        <f t="shared" si="8"/>
        <v>1569.78</v>
      </c>
      <c r="W28" s="121">
        <f t="shared" si="8"/>
        <v>0</v>
      </c>
      <c r="X28" s="136">
        <f t="shared" si="8"/>
        <v>0</v>
      </c>
      <c r="Y28" s="120">
        <f t="shared" si="9"/>
        <v>0.02</v>
      </c>
      <c r="Z28" s="138">
        <f t="shared" si="9"/>
        <v>1569.78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WORKSHEET-YR01 16 MON'!G28*1.02</f>
        <v>11559.9966</v>
      </c>
      <c r="H29" s="133">
        <f t="shared" si="0"/>
        <v>2774.3991839999999</v>
      </c>
      <c r="Q29" s="123">
        <v>0.02</v>
      </c>
      <c r="R29" s="136">
        <f>+Q29/E29*H29</f>
        <v>2774.3991839999999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2774.3991839999999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2774.3991839999999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186</v>
      </c>
      <c r="H30" s="133">
        <f>(75*41)</f>
        <v>3075</v>
      </c>
      <c r="Q30" s="123">
        <f>+E30</f>
        <v>0.04</v>
      </c>
      <c r="R30" s="136">
        <f>+H30</f>
        <v>3075</v>
      </c>
      <c r="S30" s="121">
        <v>0</v>
      </c>
      <c r="T30" s="136">
        <f>+S30/E30*H30</f>
        <v>0</v>
      </c>
      <c r="U30" s="123">
        <f t="shared" ref="U30:X31" si="11">+I30+M30+Q30</f>
        <v>0.04</v>
      </c>
      <c r="V30" s="136">
        <f t="shared" si="11"/>
        <v>3075</v>
      </c>
      <c r="W30" s="121">
        <f t="shared" si="11"/>
        <v>0</v>
      </c>
      <c r="X30" s="136">
        <f t="shared" si="11"/>
        <v>0</v>
      </c>
      <c r="Y30" s="120">
        <f>+U30+W30</f>
        <v>0.04</v>
      </c>
      <c r="Z30" s="138">
        <f>+V30+X30</f>
        <v>3075</v>
      </c>
      <c r="AA30" s="46" t="str">
        <f>IF(H30=Z30,"TRUE","FALSE")</f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187</v>
      </c>
      <c r="H31" s="133">
        <f>(60*61)</f>
        <v>3660</v>
      </c>
      <c r="Q31" s="123">
        <f>+E31</f>
        <v>0.03</v>
      </c>
      <c r="R31" s="136">
        <f>+H31</f>
        <v>3660</v>
      </c>
      <c r="S31" s="121">
        <v>0</v>
      </c>
      <c r="T31" s="136">
        <f>+S31/E31*H31</f>
        <v>0</v>
      </c>
      <c r="U31" s="123">
        <f t="shared" si="11"/>
        <v>0.03</v>
      </c>
      <c r="V31" s="136">
        <f t="shared" si="11"/>
        <v>3660</v>
      </c>
      <c r="W31" s="121">
        <f t="shared" si="11"/>
        <v>0</v>
      </c>
      <c r="X31" s="136">
        <f t="shared" si="11"/>
        <v>0</v>
      </c>
      <c r="Y31" s="120">
        <f>+U31+W31</f>
        <v>0.03</v>
      </c>
      <c r="Z31" s="138">
        <f>+V31+X31</f>
        <v>3660</v>
      </c>
      <c r="AA31" s="46" t="str">
        <f>IF(H31=Z31,"TRUE","FALSE")</f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11.109999999999996</v>
      </c>
      <c r="F33" s="153"/>
      <c r="G33" s="154"/>
      <c r="H33" s="155">
        <f t="shared" ref="H33:T33" si="12">SUM(H6:H32)</f>
        <v>475575.22274399997</v>
      </c>
      <c r="I33" s="163">
        <f t="shared" si="12"/>
        <v>4.3499999999999996</v>
      </c>
      <c r="J33" s="164">
        <f t="shared" si="12"/>
        <v>188965.05108</v>
      </c>
      <c r="K33" s="152">
        <f t="shared" si="12"/>
        <v>0.30000000000000004</v>
      </c>
      <c r="L33" s="164">
        <f t="shared" si="12"/>
        <v>25148.51208</v>
      </c>
      <c r="M33" s="163">
        <f t="shared" si="12"/>
        <v>3.85</v>
      </c>
      <c r="N33" s="164">
        <f t="shared" si="12"/>
        <v>153904.842</v>
      </c>
      <c r="O33" s="152">
        <f t="shared" si="12"/>
        <v>1.75</v>
      </c>
      <c r="P33" s="164">
        <f t="shared" si="12"/>
        <v>68850</v>
      </c>
      <c r="Q33" s="163">
        <f t="shared" si="12"/>
        <v>0.8600000000000001</v>
      </c>
      <c r="R33" s="164">
        <f t="shared" si="12"/>
        <v>38706.817584000004</v>
      </c>
      <c r="S33" s="152">
        <f t="shared" si="12"/>
        <v>0</v>
      </c>
      <c r="T33" s="164">
        <f t="shared" si="12"/>
        <v>0</v>
      </c>
      <c r="U33" s="163">
        <f>+I33+M33+Q33</f>
        <v>9.0599999999999987</v>
      </c>
      <c r="V33" s="164">
        <f>+J33+N33+R33</f>
        <v>381576.71066400001</v>
      </c>
      <c r="W33" s="152">
        <f>+K33+O33+S33</f>
        <v>2.0499999999999998</v>
      </c>
      <c r="X33" s="164">
        <f>+L33+P33+T33</f>
        <v>93998.51208</v>
      </c>
      <c r="Y33" s="159">
        <f>+U33+W33</f>
        <v>11.11</v>
      </c>
      <c r="Z33" s="160">
        <f>+V33+X33</f>
        <v>475575.22274400003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94" t="s">
        <v>105</v>
      </c>
      <c r="J36" s="595"/>
      <c r="K36" s="595"/>
      <c r="L36" s="595"/>
      <c r="M36" s="596" t="s">
        <v>106</v>
      </c>
      <c r="N36" s="597"/>
      <c r="O36" s="597"/>
      <c r="P36" s="597"/>
      <c r="Q36" s="598" t="s">
        <v>107</v>
      </c>
      <c r="R36" s="599"/>
      <c r="S36" s="599"/>
      <c r="T36" s="599"/>
      <c r="U36" s="600" t="s">
        <v>166</v>
      </c>
      <c r="V36" s="601"/>
      <c r="W36" s="601"/>
      <c r="X36" s="601"/>
      <c r="Y36" s="601"/>
      <c r="Z36" s="601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2" t="s">
        <v>110</v>
      </c>
      <c r="J37" s="593"/>
      <c r="K37" s="593" t="s">
        <v>111</v>
      </c>
      <c r="L37" s="593"/>
      <c r="M37" s="602" t="s">
        <v>110</v>
      </c>
      <c r="N37" s="593"/>
      <c r="O37" s="593" t="s">
        <v>111</v>
      </c>
      <c r="P37" s="593"/>
      <c r="Q37" s="602" t="s">
        <v>110</v>
      </c>
      <c r="R37" s="593"/>
      <c r="S37" s="593" t="s">
        <v>111</v>
      </c>
      <c r="T37" s="593"/>
      <c r="U37" s="602" t="s">
        <v>110</v>
      </c>
      <c r="V37" s="593"/>
      <c r="W37" s="593" t="s">
        <v>111</v>
      </c>
      <c r="X37" s="593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84398.932223999989</v>
      </c>
      <c r="J38" s="136">
        <f>+J6+J13+J14+J15+J24+J28+J29</f>
        <v>41749.256880000001</v>
      </c>
      <c r="L38" s="136">
        <f>+L6+L13+L14+L15</f>
        <v>7705.4961599999997</v>
      </c>
      <c r="N38" s="136">
        <f>+N6+N13+N14+N15+N24+N28+N29</f>
        <v>22950</v>
      </c>
      <c r="P38" s="136">
        <f>+P6+P13+P14+P15+P24+P28+P29</f>
        <v>7650</v>
      </c>
      <c r="R38" s="136">
        <f>+R6+R13+R14+R15+R24+R28+R29</f>
        <v>4344.1791839999996</v>
      </c>
      <c r="T38" s="136">
        <f>+T6+T13+T14+T15</f>
        <v>0</v>
      </c>
      <c r="V38" s="136">
        <f t="shared" ref="V38:V44" si="13">+J38+N38+R38</f>
        <v>69043.436063999994</v>
      </c>
      <c r="X38" s="136">
        <f t="shared" ref="X38:X44" si="14">+L38+P38+T38</f>
        <v>15355.496159999999</v>
      </c>
      <c r="Z38" s="138">
        <f t="shared" ref="Z38:Z46" si="15">+V38+X38</f>
        <v>84398.932223999989</v>
      </c>
      <c r="AA38" s="46" t="str">
        <f t="shared" ref="AA38:AA45" si="16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6735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6735</v>
      </c>
      <c r="S39" s="236"/>
      <c r="T39" s="240">
        <f>+T30+T31</f>
        <v>0</v>
      </c>
      <c r="U39" s="239"/>
      <c r="V39" s="240">
        <f t="shared" si="13"/>
        <v>6735</v>
      </c>
      <c r="W39" s="236"/>
      <c r="X39" s="240">
        <f>+L39+P39+T39</f>
        <v>0</v>
      </c>
      <c r="Y39" s="241"/>
      <c r="Z39" s="242">
        <f>+V39+X39</f>
        <v>6735</v>
      </c>
      <c r="AA39" s="46" t="str">
        <f t="shared" si="16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105589.16172</v>
      </c>
      <c r="J40" s="136">
        <f>+J7+J21+J26+J9+J16+J25</f>
        <v>47224.949400000005</v>
      </c>
      <c r="L40" s="136">
        <f>+L7+L21+L26+L9+L16</f>
        <v>8295.4519199999995</v>
      </c>
      <c r="N40" s="136">
        <f>+N7+N21+N26+N9+N16+N25</f>
        <v>39154.842000000004</v>
      </c>
      <c r="P40" s="136">
        <f>+P7+P21+P26+P9+P16+P25</f>
        <v>0</v>
      </c>
      <c r="R40" s="136">
        <f>+R7+R21+R26+R9+R16+R25</f>
        <v>10913.9184</v>
      </c>
      <c r="T40" s="136">
        <f>+T7+T21+T26+T9+T16</f>
        <v>0</v>
      </c>
      <c r="V40" s="136">
        <f t="shared" si="13"/>
        <v>97293.709800000011</v>
      </c>
      <c r="X40" s="136">
        <f t="shared" si="14"/>
        <v>8295.4519199999995</v>
      </c>
      <c r="Z40" s="138">
        <f t="shared" si="15"/>
        <v>105589.16172</v>
      </c>
      <c r="AA40" s="46" t="str">
        <f t="shared" si="16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97863.328800000018</v>
      </c>
      <c r="J41" s="136">
        <f>+J8+J10+J11+J12+J17-J12</f>
        <v>72002.044800000003</v>
      </c>
      <c r="L41" s="136">
        <f>+L8+L10+L11+L12+L17-L12</f>
        <v>9147.5640000000021</v>
      </c>
      <c r="N41" s="136">
        <f>+N8+N10+N11+N12+N17-N12</f>
        <v>0</v>
      </c>
      <c r="P41" s="136">
        <f>+P8+P10+P11+P12+P17-P12</f>
        <v>0</v>
      </c>
      <c r="R41" s="136">
        <f>+R8+R10+R11+R12+R17-R12</f>
        <v>16713.72</v>
      </c>
      <c r="T41" s="136">
        <f>+T8+T10+T11+T12+T17-T12</f>
        <v>0</v>
      </c>
      <c r="V41" s="136">
        <f t="shared" si="13"/>
        <v>88715.764800000004</v>
      </c>
      <c r="X41" s="136">
        <f t="shared" si="14"/>
        <v>9147.5640000000021</v>
      </c>
      <c r="Z41" s="138">
        <f t="shared" si="15"/>
        <v>97863.328800000003</v>
      </c>
      <c r="AA41" s="46" t="str">
        <f t="shared" si="16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27988.800000000003</v>
      </c>
      <c r="I42" s="239"/>
      <c r="J42" s="240">
        <f>+J12</f>
        <v>27988.800000000003</v>
      </c>
      <c r="K42" s="236"/>
      <c r="L42" s="240">
        <f>+L12</f>
        <v>0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3"/>
        <v>27988.800000000003</v>
      </c>
      <c r="W42" s="236"/>
      <c r="X42" s="240">
        <f t="shared" si="14"/>
        <v>0</v>
      </c>
      <c r="Y42" s="241"/>
      <c r="Z42" s="242">
        <f t="shared" si="15"/>
        <v>27988.800000000003</v>
      </c>
      <c r="AA42" s="46" t="str">
        <f t="shared" si="16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76500</v>
      </c>
      <c r="J43" s="136">
        <f>+J19+J22</f>
        <v>0</v>
      </c>
      <c r="L43" s="136">
        <f>+L19+L22</f>
        <v>0</v>
      </c>
      <c r="N43" s="136">
        <f>+N19+N22</f>
        <v>45900</v>
      </c>
      <c r="P43" s="136">
        <f>+P19+P22</f>
        <v>30600</v>
      </c>
      <c r="R43" s="136">
        <f>+R19+R22</f>
        <v>0</v>
      </c>
      <c r="T43" s="136">
        <f>+T19+T22</f>
        <v>0</v>
      </c>
      <c r="V43" s="136">
        <f t="shared" si="13"/>
        <v>45900</v>
      </c>
      <c r="X43" s="136">
        <f t="shared" si="14"/>
        <v>30600</v>
      </c>
      <c r="Z43" s="138">
        <f t="shared" si="15"/>
        <v>76500</v>
      </c>
      <c r="AA43" s="46" t="str">
        <f t="shared" si="16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76500</v>
      </c>
      <c r="J44" s="136">
        <f>+J20+J23</f>
        <v>0</v>
      </c>
      <c r="L44" s="136">
        <f>+L20+L23</f>
        <v>0</v>
      </c>
      <c r="N44" s="136">
        <f>+N20+N23</f>
        <v>45900</v>
      </c>
      <c r="P44" s="136">
        <f>+P20+P23</f>
        <v>30600</v>
      </c>
      <c r="R44" s="136">
        <f>+R20+R23</f>
        <v>0</v>
      </c>
      <c r="T44" s="136">
        <f>+T20+T23</f>
        <v>0</v>
      </c>
      <c r="V44" s="136">
        <f t="shared" si="13"/>
        <v>45900</v>
      </c>
      <c r="X44" s="136">
        <f t="shared" si="14"/>
        <v>30600</v>
      </c>
      <c r="Z44" s="138">
        <f t="shared" si="15"/>
        <v>76500</v>
      </c>
      <c r="AA44" s="46" t="str">
        <f t="shared" si="16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475575.22274399997</v>
      </c>
      <c r="I45" s="163"/>
      <c r="J45" s="164">
        <f>SUM(J38:J44)</f>
        <v>188965.05108</v>
      </c>
      <c r="K45" s="152"/>
      <c r="L45" s="168">
        <f>SUM(L38:L44)</f>
        <v>25148.51208</v>
      </c>
      <c r="M45" s="163"/>
      <c r="N45" s="164">
        <f>SUM(N38:N44)</f>
        <v>153904.842</v>
      </c>
      <c r="O45" s="152"/>
      <c r="P45" s="168">
        <f>SUM(P38:P44)</f>
        <v>68850</v>
      </c>
      <c r="Q45" s="163"/>
      <c r="R45" s="164">
        <f>SUM(R38:R44)</f>
        <v>38706.817584000004</v>
      </c>
      <c r="S45" s="152"/>
      <c r="T45" s="168">
        <f>SUM(T38:T44)</f>
        <v>0</v>
      </c>
      <c r="U45" s="163"/>
      <c r="V45" s="164">
        <f>SUM(V38:V44)</f>
        <v>381576.71066400001</v>
      </c>
      <c r="W45" s="152"/>
      <c r="X45" s="164">
        <f>SUM(X38:X44)</f>
        <v>93998.51208</v>
      </c>
      <c r="Y45" s="159"/>
      <c r="Z45" s="160">
        <f t="shared" si="15"/>
        <v>475575.22274400003</v>
      </c>
      <c r="AA45" s="116" t="str">
        <f t="shared" si="16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381576.71066400001</v>
      </c>
      <c r="W46" s="198"/>
      <c r="X46" s="197">
        <f>+L45+P45+T45</f>
        <v>93998.51208</v>
      </c>
      <c r="Y46" s="199"/>
      <c r="Z46" s="200">
        <f t="shared" si="15"/>
        <v>475575.22274400003</v>
      </c>
      <c r="AB46" s="244"/>
    </row>
    <row r="47" spans="1:28" x14ac:dyDescent="0.35">
      <c r="H47" s="134"/>
      <c r="I47" s="594" t="s">
        <v>105</v>
      </c>
      <c r="J47" s="595"/>
      <c r="K47" s="595"/>
      <c r="L47" s="595"/>
      <c r="M47" s="596" t="s">
        <v>106</v>
      </c>
      <c r="N47" s="597"/>
      <c r="O47" s="597"/>
      <c r="P47" s="597"/>
      <c r="Q47" s="598" t="s">
        <v>107</v>
      </c>
      <c r="R47" s="599"/>
      <c r="S47" s="599"/>
      <c r="T47" s="599"/>
      <c r="U47" s="600" t="s">
        <v>166</v>
      </c>
      <c r="V47" s="601"/>
      <c r="W47" s="601"/>
      <c r="X47" s="601"/>
      <c r="Y47" s="601"/>
      <c r="Z47" s="601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2" t="s">
        <v>110</v>
      </c>
      <c r="J48" s="593"/>
      <c r="K48" s="593" t="s">
        <v>111</v>
      </c>
      <c r="L48" s="593"/>
      <c r="M48" s="602" t="s">
        <v>110</v>
      </c>
      <c r="N48" s="593"/>
      <c r="O48" s="593" t="s">
        <v>111</v>
      </c>
      <c r="P48" s="593"/>
      <c r="Q48" s="602" t="s">
        <v>110</v>
      </c>
      <c r="R48" s="593"/>
      <c r="S48" s="593" t="s">
        <v>111</v>
      </c>
      <c r="T48" s="593"/>
      <c r="U48" s="602" t="s">
        <v>110</v>
      </c>
      <c r="V48" s="593"/>
      <c r="W48" s="593" t="s">
        <v>111</v>
      </c>
      <c r="X48" s="593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32071.594245119995</v>
      </c>
      <c r="I49" s="123">
        <v>0.3</v>
      </c>
      <c r="J49" s="136">
        <f>+J38*I49</f>
        <v>12524.777064</v>
      </c>
      <c r="K49" s="121">
        <f>+E49-I49</f>
        <v>8.0000000000000016E-2</v>
      </c>
      <c r="L49" s="136">
        <f>+J38*K49</f>
        <v>3339.9405504000006</v>
      </c>
      <c r="M49" s="123">
        <v>0.3</v>
      </c>
      <c r="N49" s="136">
        <f>+N38*M49</f>
        <v>6885</v>
      </c>
      <c r="O49" s="121">
        <f>+E49-M49</f>
        <v>8.0000000000000016E-2</v>
      </c>
      <c r="P49" s="136">
        <f>+N38*O49</f>
        <v>1836.0000000000005</v>
      </c>
      <c r="Q49" s="123">
        <v>0.3</v>
      </c>
      <c r="R49" s="136">
        <f>+R38*Q49</f>
        <v>1303.2537551999999</v>
      </c>
      <c r="S49" s="121">
        <f>+E49-Q49</f>
        <v>8.0000000000000016E-2</v>
      </c>
      <c r="T49" s="136">
        <f>+R38*S49</f>
        <v>347.53433472000006</v>
      </c>
      <c r="V49" s="136">
        <f>+J49+N49+R49</f>
        <v>20713.030819200001</v>
      </c>
      <c r="X49" s="136">
        <f>+L49+P49+T49</f>
        <v>5523.4748851200002</v>
      </c>
      <c r="Z49" s="138">
        <f>+V49+X49</f>
        <v>26236.505704319999</v>
      </c>
    </row>
    <row r="50" spans="1:28" x14ac:dyDescent="0.35">
      <c r="B50" s="176"/>
      <c r="E50" s="175"/>
      <c r="K50" s="121">
        <f>+E49</f>
        <v>0.38</v>
      </c>
      <c r="L50" s="136">
        <f>+L38*K50</f>
        <v>2928.0885407999999</v>
      </c>
      <c r="O50" s="121">
        <f>+E49</f>
        <v>0.38</v>
      </c>
      <c r="P50" s="136">
        <f>+P38*O50</f>
        <v>2907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5835.0885407999995</v>
      </c>
      <c r="Z50" s="138">
        <f>+V50+X50</f>
        <v>5835.0885407999995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32071.594245119995</v>
      </c>
      <c r="I51" s="156"/>
      <c r="J51" s="157">
        <f>SUM(J49:J50)</f>
        <v>12524.777064</v>
      </c>
      <c r="K51" s="158"/>
      <c r="L51" s="157">
        <f>SUM(L49:L50)</f>
        <v>6268.0290912</v>
      </c>
      <c r="M51" s="156"/>
      <c r="N51" s="157">
        <f>SUM(N49:N50)</f>
        <v>6885</v>
      </c>
      <c r="O51" s="158"/>
      <c r="P51" s="157">
        <f>SUM(P49:P50)</f>
        <v>4743</v>
      </c>
      <c r="Q51" s="156"/>
      <c r="R51" s="157">
        <f>SUM(R49:R50)</f>
        <v>1303.2537551999999</v>
      </c>
      <c r="S51" s="158"/>
      <c r="T51" s="157">
        <f>SUM(T49:T50)</f>
        <v>347.53433472000006</v>
      </c>
      <c r="U51" s="156"/>
      <c r="V51" s="157">
        <f>+J51+N51+R51</f>
        <v>20713.030819200001</v>
      </c>
      <c r="W51" s="158"/>
      <c r="X51" s="157">
        <f>+L51+P51+T51</f>
        <v>11358.56342592</v>
      </c>
      <c r="Y51" s="170"/>
      <c r="Z51" s="171">
        <f>+V51+X51</f>
        <v>32071.594245120003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35900.314984800003</v>
      </c>
      <c r="I53" s="123">
        <v>0.3</v>
      </c>
      <c r="J53" s="136">
        <f>+J40*I53</f>
        <v>14167.484820000001</v>
      </c>
      <c r="K53" s="121">
        <f>+E53-I53</f>
        <v>4.0000000000000036E-2</v>
      </c>
      <c r="L53" s="136">
        <f>+J40*K53</f>
        <v>1888.9979760000019</v>
      </c>
      <c r="M53" s="123">
        <v>0.3</v>
      </c>
      <c r="N53" s="136">
        <f>+N40*M53</f>
        <v>11746.452600000001</v>
      </c>
      <c r="O53" s="121">
        <f>+E53-M53</f>
        <v>4.0000000000000036E-2</v>
      </c>
      <c r="P53" s="136">
        <f>+N40*O53</f>
        <v>1566.1936800000015</v>
      </c>
      <c r="Q53" s="123">
        <v>0.3</v>
      </c>
      <c r="R53" s="136">
        <f>+R40*Q53</f>
        <v>3274.1755200000002</v>
      </c>
      <c r="S53" s="121">
        <f>+E53-Q53</f>
        <v>4.0000000000000036E-2</v>
      </c>
      <c r="T53" s="136">
        <f>+R40*S53</f>
        <v>436.5567360000004</v>
      </c>
      <c r="V53" s="136">
        <f>+J53+N53+R53</f>
        <v>29188.112940000003</v>
      </c>
      <c r="X53" s="136">
        <f>+L53+P53+T53</f>
        <v>3891.7483920000041</v>
      </c>
      <c r="Z53" s="138">
        <f>+V53+X53</f>
        <v>33079.861332000008</v>
      </c>
    </row>
    <row r="54" spans="1:28" x14ac:dyDescent="0.35">
      <c r="B54" s="176"/>
      <c r="E54" s="166"/>
      <c r="K54" s="121">
        <f>+E53</f>
        <v>0.34</v>
      </c>
      <c r="L54" s="136">
        <f>+L40*K54</f>
        <v>2820.4536527999999</v>
      </c>
      <c r="O54" s="121">
        <f>+E53</f>
        <v>0.34</v>
      </c>
      <c r="P54" s="136">
        <f>+P40*O54</f>
        <v>0</v>
      </c>
      <c r="S54" s="121">
        <f>+E53</f>
        <v>0.34</v>
      </c>
      <c r="T54" s="136">
        <f>+T40*S54</f>
        <v>0</v>
      </c>
      <c r="X54" s="136">
        <f>+L54+P54+T54</f>
        <v>2820.4536527999999</v>
      </c>
      <c r="Z54" s="138">
        <f>+V54+X54</f>
        <v>2820.4536527999999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35900.314984800003</v>
      </c>
      <c r="I55" s="156"/>
      <c r="J55" s="157">
        <f>SUM(J53:J54)</f>
        <v>14167.484820000001</v>
      </c>
      <c r="K55" s="158"/>
      <c r="L55" s="157">
        <f>SUM(L53:L54)</f>
        <v>4709.4516288000013</v>
      </c>
      <c r="M55" s="156"/>
      <c r="N55" s="157">
        <f>SUM(N53:N54)</f>
        <v>11746.452600000001</v>
      </c>
      <c r="O55" s="158"/>
      <c r="P55" s="157">
        <f>SUM(P53:P54)</f>
        <v>1566.1936800000015</v>
      </c>
      <c r="Q55" s="156"/>
      <c r="R55" s="157">
        <f>SUM(R53:R54)</f>
        <v>3274.1755200000002</v>
      </c>
      <c r="S55" s="158"/>
      <c r="T55" s="157">
        <f>SUM(T53:T54)</f>
        <v>436.5567360000004</v>
      </c>
      <c r="U55" s="156"/>
      <c r="V55" s="157">
        <f>+J55+N55+R55</f>
        <v>29188.112940000003</v>
      </c>
      <c r="W55" s="158"/>
      <c r="X55" s="157">
        <f>+L55+P55+T55</f>
        <v>6712.202044800003</v>
      </c>
      <c r="Y55" s="170"/>
      <c r="Z55" s="171">
        <f>+V55+X55</f>
        <v>35900.314984800003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19572.665760000004</v>
      </c>
      <c r="I57" s="123">
        <v>0.2</v>
      </c>
      <c r="J57" s="136">
        <f>+J41*I57</f>
        <v>14400.408960000001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3342.7440000000006</v>
      </c>
      <c r="S57" s="121">
        <f>+E57-Q57</f>
        <v>0</v>
      </c>
      <c r="T57" s="136">
        <f>+R41*S57</f>
        <v>0</v>
      </c>
      <c r="V57" s="136">
        <f>+J57+N57+R57</f>
        <v>17743.152959999999</v>
      </c>
      <c r="X57" s="136">
        <f>+L57+P57+T57</f>
        <v>0</v>
      </c>
      <c r="Z57" s="138">
        <f>+V57+X57</f>
        <v>17743.152959999999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1829.5128000000004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0</v>
      </c>
      <c r="V58" s="136">
        <f>+J58+N58+R58</f>
        <v>0</v>
      </c>
      <c r="X58" s="136">
        <f>+L58+P58+T58</f>
        <v>1829.5128000000004</v>
      </c>
      <c r="Z58" s="138">
        <f>+V58+X58</f>
        <v>1829.5128000000004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19572.665760000004</v>
      </c>
      <c r="I59" s="156"/>
      <c r="J59" s="157">
        <f>SUM(J57:J58)</f>
        <v>14400.408960000001</v>
      </c>
      <c r="K59" s="158"/>
      <c r="L59" s="157">
        <f>SUM(L57:L58)</f>
        <v>1829.5128000000004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3342.7440000000006</v>
      </c>
      <c r="S59" s="158"/>
      <c r="T59" s="157">
        <f>SUM(T57:T58)</f>
        <v>0</v>
      </c>
      <c r="U59" s="156"/>
      <c r="V59" s="157">
        <f>+J59+N59+R59</f>
        <v>17743.152959999999</v>
      </c>
      <c r="W59" s="158"/>
      <c r="X59" s="157">
        <f>+L59+P59+T59</f>
        <v>1829.5128000000004</v>
      </c>
      <c r="Y59" s="170"/>
      <c r="Z59" s="171">
        <f>+V59+X59</f>
        <v>19572.66576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22950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13770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13770</v>
      </c>
      <c r="X61" s="136">
        <f>+L61+P61+T61</f>
        <v>0</v>
      </c>
      <c r="Z61" s="138">
        <f>+V61+X61</f>
        <v>13770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9180</v>
      </c>
      <c r="S62" s="121">
        <f>+E61</f>
        <v>0.3</v>
      </c>
      <c r="V62" s="136">
        <f>+J62+N62+R62</f>
        <v>0</v>
      </c>
      <c r="X62" s="136">
        <f>+L62+P62+T62</f>
        <v>9180</v>
      </c>
      <c r="Z62" s="138">
        <f>+V62+X62</f>
        <v>9180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22950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13770</v>
      </c>
      <c r="O63" s="158"/>
      <c r="P63" s="157">
        <f>SUM(P61:P62)</f>
        <v>9180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13770</v>
      </c>
      <c r="W63" s="158"/>
      <c r="X63" s="157">
        <f>+L63+P63+T63</f>
        <v>9180</v>
      </c>
      <c r="Y63" s="170"/>
      <c r="Z63" s="171">
        <f>+V63+X63</f>
        <v>22950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22950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13770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13770</v>
      </c>
      <c r="X65" s="136">
        <f>+L65+P65+T65</f>
        <v>0</v>
      </c>
      <c r="Z65" s="138">
        <f>+V65+X65</f>
        <v>13770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9180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9180</v>
      </c>
      <c r="Z66" s="138">
        <f>+V66+X66</f>
        <v>9180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22950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13770</v>
      </c>
      <c r="O67" s="158"/>
      <c r="P67" s="157">
        <f>SUM(P65:P66)</f>
        <v>9180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13770</v>
      </c>
      <c r="W67" s="158"/>
      <c r="X67" s="157">
        <f>+L67+P67+T67</f>
        <v>9180</v>
      </c>
      <c r="Y67" s="170"/>
      <c r="Z67" s="171">
        <f>+V67+X67</f>
        <v>22950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53899.664364000004</v>
      </c>
      <c r="M69" s="259"/>
      <c r="N69" s="260"/>
      <c r="O69" s="261"/>
      <c r="P69" s="262">
        <f>+N70+P70</f>
        <v>70840.646280000001</v>
      </c>
      <c r="Q69" s="259"/>
      <c r="R69" s="260"/>
      <c r="S69" s="261"/>
      <c r="T69" s="262">
        <f>+R70+T70</f>
        <v>8704.2643459200008</v>
      </c>
      <c r="U69" s="259"/>
      <c r="V69" s="260"/>
      <c r="W69" s="261"/>
      <c r="X69" s="260"/>
      <c r="Y69" s="263"/>
      <c r="Z69" s="246">
        <f>+T69+P69+L69</f>
        <v>133444.57498992002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133444.57498992002</v>
      </c>
      <c r="I70" s="129"/>
      <c r="J70" s="137">
        <f>+J51+J55+J59+J63+J67</f>
        <v>41092.670844</v>
      </c>
      <c r="K70" s="130"/>
      <c r="L70" s="243">
        <f>+L51+L55+L59+L63+L67</f>
        <v>12806.993520000002</v>
      </c>
      <c r="M70" s="129"/>
      <c r="N70" s="137">
        <f>+N51+N55+N59+N63+N67</f>
        <v>46171.452600000004</v>
      </c>
      <c r="O70" s="130"/>
      <c r="P70" s="243">
        <f>+P51+P55+P59+P63+P67</f>
        <v>24669.19368</v>
      </c>
      <c r="Q70" s="129"/>
      <c r="R70" s="137">
        <f>+R51+R55+R59+R63+R67</f>
        <v>7920.1732752000007</v>
      </c>
      <c r="S70" s="130"/>
      <c r="T70" s="243">
        <f>+T51+T55+T59+T63+T67</f>
        <v>784.09107072000052</v>
      </c>
      <c r="U70" s="129"/>
      <c r="V70" s="137">
        <f>+V67+V63+V59+V55+V51</f>
        <v>95184.296719200007</v>
      </c>
      <c r="W70" s="137"/>
      <c r="X70" s="137">
        <f>+X67+X63+X59+X55+X51</f>
        <v>38260.278270720002</v>
      </c>
      <c r="Y70" s="137"/>
      <c r="Z70" s="137">
        <f>+Z67+Z63+Z59+Z55+Z51</f>
        <v>133444.57498992002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95184.296719199992</v>
      </c>
      <c r="W71" s="198"/>
      <c r="X71" s="197">
        <f>+L70+P70+T70</f>
        <v>38260.278270720002</v>
      </c>
      <c r="Y71" s="199"/>
      <c r="Z71" s="200">
        <f>+V71+X71</f>
        <v>133444.57498991999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268013.22752399999</v>
      </c>
      <c r="M72" s="251"/>
      <c r="N72" s="252"/>
      <c r="O72" s="253"/>
      <c r="P72" s="254">
        <f>+N73+P73</f>
        <v>293595.48828000005</v>
      </c>
      <c r="Q72" s="255"/>
      <c r="R72" s="256"/>
      <c r="S72" s="257"/>
      <c r="T72" s="258">
        <f>+R73+T73</f>
        <v>47411.081929920008</v>
      </c>
      <c r="U72" s="259"/>
      <c r="V72" s="260"/>
      <c r="W72" s="261"/>
      <c r="X72" s="260"/>
      <c r="Y72" s="263"/>
      <c r="Z72" s="246">
        <f>+T72+P72+L72</f>
        <v>609019.79773392004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609019.79773391993</v>
      </c>
      <c r="I73" s="184"/>
      <c r="J73" s="183">
        <f>+J70+J45</f>
        <v>230057.72192400001</v>
      </c>
      <c r="K73" s="185"/>
      <c r="L73" s="183">
        <f>+L70+L45</f>
        <v>37955.505600000004</v>
      </c>
      <c r="M73" s="186"/>
      <c r="N73" s="187">
        <f>+N70+N45</f>
        <v>200076.29460000002</v>
      </c>
      <c r="O73" s="188"/>
      <c r="P73" s="187">
        <f>+P70+P45</f>
        <v>93519.193679999997</v>
      </c>
      <c r="Q73" s="189"/>
      <c r="R73" s="190">
        <f>+R70+R45</f>
        <v>46626.990859200007</v>
      </c>
      <c r="S73" s="191"/>
      <c r="T73" s="190">
        <f>+T70+T45</f>
        <v>784.09107072000052</v>
      </c>
      <c r="U73" s="192"/>
      <c r="V73" s="193">
        <f t="shared" ref="V73:V79" si="17">+J73+N73+R73</f>
        <v>476761.00738320005</v>
      </c>
      <c r="W73" s="194"/>
      <c r="X73" s="193">
        <f t="shared" ref="X73:X79" si="18">+L73+P73+T73</f>
        <v>132258.79035072</v>
      </c>
      <c r="Y73" s="195"/>
      <c r="Z73" s="196">
        <f t="shared" ref="Z73:Z79" si="19">+V73+X73</f>
        <v>609019.79773392004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123205.52646911998</v>
      </c>
      <c r="J74" s="136">
        <f>+J38+J51</f>
        <v>54274.033944000003</v>
      </c>
      <c r="L74" s="136">
        <f>+L38+L51</f>
        <v>13973.525251200001</v>
      </c>
      <c r="N74" s="136">
        <f>+N38+N51</f>
        <v>29835</v>
      </c>
      <c r="P74" s="136">
        <f>+P38+P51</f>
        <v>12393</v>
      </c>
      <c r="R74" s="136">
        <f>+R38+R39+R51</f>
        <v>12382.4329392</v>
      </c>
      <c r="T74" s="136">
        <f>+T38+T51</f>
        <v>347.53433472000006</v>
      </c>
      <c r="V74" s="136">
        <f t="shared" si="17"/>
        <v>96491.466883199988</v>
      </c>
      <c r="X74" s="136">
        <f t="shared" si="18"/>
        <v>26714.05958592</v>
      </c>
      <c r="Z74" s="138">
        <f t="shared" si="19"/>
        <v>123205.52646911998</v>
      </c>
      <c r="AA74" s="121" t="s">
        <v>1</v>
      </c>
    </row>
    <row r="75" spans="1:27" x14ac:dyDescent="0.35">
      <c r="B75"/>
      <c r="E75" s="121" t="s">
        <v>7</v>
      </c>
      <c r="H75" s="133">
        <f>+H40+H55</f>
        <v>141489.47670480001</v>
      </c>
      <c r="J75" s="136">
        <f>+J40+J55</f>
        <v>61392.43422000001</v>
      </c>
      <c r="L75" s="136">
        <f>+L40+L55</f>
        <v>13004.903548800001</v>
      </c>
      <c r="N75" s="136">
        <f>+N40+N55</f>
        <v>50901.294600000008</v>
      </c>
      <c r="P75" s="136">
        <f>+P40+P55</f>
        <v>1566.1936800000015</v>
      </c>
      <c r="R75" s="136">
        <f>+R40+R55</f>
        <v>14188.093920000001</v>
      </c>
      <c r="T75" s="136">
        <f>+T40+T55</f>
        <v>436.5567360000004</v>
      </c>
      <c r="U75" s="349" t="s">
        <v>178</v>
      </c>
      <c r="V75" s="350">
        <f t="shared" si="17"/>
        <v>126481.82274000002</v>
      </c>
      <c r="X75" s="136">
        <f t="shared" si="18"/>
        <v>15007.653964800003</v>
      </c>
      <c r="Z75" s="138">
        <f t="shared" si="19"/>
        <v>141489.47670480004</v>
      </c>
      <c r="AA75" s="121" t="s">
        <v>7</v>
      </c>
    </row>
    <row r="76" spans="1:27" x14ac:dyDescent="0.35">
      <c r="B76"/>
      <c r="E76" s="121" t="s">
        <v>9</v>
      </c>
      <c r="H76" s="133">
        <f>+H41+H59+H42</f>
        <v>145424.79456000001</v>
      </c>
      <c r="J76" s="136">
        <f>+J41+J59+J42</f>
        <v>114391.25376000001</v>
      </c>
      <c r="L76" s="136">
        <f>+L41+L59+L42</f>
        <v>10977.076800000003</v>
      </c>
      <c r="N76" s="136">
        <f>+N41+N59+N42</f>
        <v>0</v>
      </c>
      <c r="P76" s="136">
        <f>+P41+P59+P42</f>
        <v>0</v>
      </c>
      <c r="R76" s="136">
        <f>+R41+R59+R42</f>
        <v>20056.464</v>
      </c>
      <c r="T76" s="136">
        <f>+T41+T59+T42</f>
        <v>0</v>
      </c>
      <c r="U76" s="349" t="s">
        <v>178</v>
      </c>
      <c r="V76" s="350">
        <f t="shared" si="17"/>
        <v>134447.71776</v>
      </c>
      <c r="X76" s="136">
        <f t="shared" si="18"/>
        <v>10977.076800000003</v>
      </c>
      <c r="Z76" s="138">
        <f t="shared" si="19"/>
        <v>145424.79456000001</v>
      </c>
      <c r="AA76" s="121" t="s">
        <v>9</v>
      </c>
    </row>
    <row r="77" spans="1:27" x14ac:dyDescent="0.35">
      <c r="B77"/>
      <c r="E77" s="121" t="s">
        <v>11</v>
      </c>
      <c r="H77" s="133">
        <f>+H43+H63</f>
        <v>99450</v>
      </c>
      <c r="J77" s="136">
        <f>+J43+J63</f>
        <v>0</v>
      </c>
      <c r="L77" s="136">
        <f>+L43+L63</f>
        <v>0</v>
      </c>
      <c r="N77" s="136">
        <f>+N43+N63</f>
        <v>59670</v>
      </c>
      <c r="P77" s="136">
        <f>+P43+P63</f>
        <v>39780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7"/>
        <v>59670</v>
      </c>
      <c r="X77" s="136">
        <f t="shared" si="18"/>
        <v>39780</v>
      </c>
      <c r="Z77" s="138">
        <f t="shared" si="19"/>
        <v>99450</v>
      </c>
      <c r="AA77" s="121" t="s">
        <v>11</v>
      </c>
    </row>
    <row r="78" spans="1:27" x14ac:dyDescent="0.35">
      <c r="B78"/>
      <c r="E78" s="121" t="s">
        <v>13</v>
      </c>
      <c r="H78" s="133">
        <f>+H44+H67</f>
        <v>99450</v>
      </c>
      <c r="J78" s="136">
        <f>+J44+J67</f>
        <v>0</v>
      </c>
      <c r="L78" s="136">
        <f>+L44+L67</f>
        <v>0</v>
      </c>
      <c r="N78" s="136">
        <f>+N44+N67</f>
        <v>59670</v>
      </c>
      <c r="P78" s="136">
        <f>+P44+P67</f>
        <v>39780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7"/>
        <v>59670</v>
      </c>
      <c r="X78" s="136">
        <f t="shared" si="18"/>
        <v>39780</v>
      </c>
      <c r="Z78" s="138">
        <f t="shared" si="19"/>
        <v>99450</v>
      </c>
      <c r="AA78" s="121" t="s">
        <v>13</v>
      </c>
    </row>
    <row r="79" spans="1:27" x14ac:dyDescent="0.35">
      <c r="B79" s="351" t="s">
        <v>179</v>
      </c>
      <c r="H79" s="201">
        <f>SUM(H74:H78)</f>
        <v>609019.79773391993</v>
      </c>
      <c r="J79" s="197">
        <f>SUM(J74:J78)</f>
        <v>230057.72192400001</v>
      </c>
      <c r="L79" s="197">
        <f>SUM(L74:L78)</f>
        <v>37955.505600000004</v>
      </c>
      <c r="N79" s="197">
        <f>SUM(N74:N78)</f>
        <v>200076.29460000002</v>
      </c>
      <c r="P79" s="197">
        <f>SUM(P74:P78)</f>
        <v>93519.193679999997</v>
      </c>
      <c r="R79" s="197">
        <f>SUM(R74:R78)</f>
        <v>46626.990859199999</v>
      </c>
      <c r="T79" s="197">
        <f>SUM(T74:T78)</f>
        <v>784.09107072000052</v>
      </c>
      <c r="V79" s="197">
        <f t="shared" si="17"/>
        <v>476761.00738320005</v>
      </c>
      <c r="W79" s="198"/>
      <c r="X79" s="197">
        <f t="shared" si="18"/>
        <v>132258.79035072</v>
      </c>
      <c r="Y79" s="199"/>
      <c r="Z79" s="200">
        <f t="shared" si="19"/>
        <v>609019.79773392004</v>
      </c>
    </row>
  </sheetData>
  <mergeCells count="37">
    <mergeCell ref="S48:T48"/>
    <mergeCell ref="U48:V48"/>
    <mergeCell ref="W48:X48"/>
    <mergeCell ref="I48:J48"/>
    <mergeCell ref="K48:L48"/>
    <mergeCell ref="M48:N48"/>
    <mergeCell ref="O48:P48"/>
    <mergeCell ref="Q48:R48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E3:H3"/>
    <mergeCell ref="I3:L3"/>
    <mergeCell ref="M3:P3"/>
    <mergeCell ref="Q3:T3"/>
    <mergeCell ref="U3:Z3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9"/>
  <sheetViews>
    <sheetView workbookViewId="0">
      <selection activeCell="O70" sqref="O70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188</v>
      </c>
    </row>
    <row r="3" spans="1:27" x14ac:dyDescent="0.35">
      <c r="A3" s="144" t="s">
        <v>182</v>
      </c>
      <c r="D3" s="143" t="s">
        <v>189</v>
      </c>
      <c r="E3" s="593" t="s">
        <v>104</v>
      </c>
      <c r="F3" s="593"/>
      <c r="G3" s="593"/>
      <c r="H3" s="593"/>
      <c r="I3" s="594" t="s">
        <v>105</v>
      </c>
      <c r="J3" s="595"/>
      <c r="K3" s="595"/>
      <c r="L3" s="595"/>
      <c r="M3" s="596" t="s">
        <v>106</v>
      </c>
      <c r="N3" s="597"/>
      <c r="O3" s="597"/>
      <c r="P3" s="597"/>
      <c r="Q3" s="598" t="s">
        <v>107</v>
      </c>
      <c r="R3" s="599"/>
      <c r="S3" s="599"/>
      <c r="T3" s="599"/>
      <c r="U3" s="600" t="s">
        <v>108</v>
      </c>
      <c r="V3" s="601"/>
      <c r="W3" s="601"/>
      <c r="X3" s="601"/>
      <c r="Y3" s="601"/>
      <c r="Z3" s="601"/>
    </row>
    <row r="4" spans="1:27" s="4" customFormat="1" x14ac:dyDescent="0.35">
      <c r="A4" s="144"/>
      <c r="B4" s="143"/>
      <c r="E4" s="132"/>
      <c r="F4" s="149"/>
      <c r="G4" s="307" t="s">
        <v>190</v>
      </c>
      <c r="H4" s="134"/>
      <c r="I4" s="602" t="s">
        <v>110</v>
      </c>
      <c r="J4" s="593"/>
      <c r="K4" s="593" t="s">
        <v>111</v>
      </c>
      <c r="L4" s="593"/>
      <c r="M4" s="602" t="s">
        <v>110</v>
      </c>
      <c r="N4" s="593"/>
      <c r="O4" s="593" t="s">
        <v>111</v>
      </c>
      <c r="P4" s="593"/>
      <c r="Q4" s="602" t="s">
        <v>110</v>
      </c>
      <c r="R4" s="593"/>
      <c r="S4" s="593" t="s">
        <v>111</v>
      </c>
      <c r="T4" s="593"/>
      <c r="U4" s="602" t="s">
        <v>110</v>
      </c>
      <c r="V4" s="593"/>
      <c r="W4" s="593" t="s">
        <v>111</v>
      </c>
      <c r="X4" s="593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0.25</v>
      </c>
      <c r="F6" s="115">
        <v>12</v>
      </c>
      <c r="G6" s="119">
        <f>+'STAFFING WORKSHEET-YR02'!G6*1.02</f>
        <v>6549.6717360000002</v>
      </c>
      <c r="H6" s="133">
        <f>+E6*F6*G6</f>
        <v>19649.015208000001</v>
      </c>
      <c r="I6" s="123">
        <v>0.1</v>
      </c>
      <c r="J6" s="136">
        <f>+I6/E6*H6</f>
        <v>7859.6060832000003</v>
      </c>
      <c r="K6" s="121">
        <v>0.15</v>
      </c>
      <c r="L6" s="136">
        <f>+K6/E6*H6</f>
        <v>11789.4091248</v>
      </c>
      <c r="U6" s="123">
        <f>+I6+M6+Q6</f>
        <v>0.1</v>
      </c>
      <c r="V6" s="136">
        <f>+J6+N6+R6</f>
        <v>7859.6060832000003</v>
      </c>
      <c r="W6" s="121">
        <f>+K6+O6+S6</f>
        <v>0.15</v>
      </c>
      <c r="X6" s="136">
        <f>+L6+P6+T6</f>
        <v>11789.4091248</v>
      </c>
      <c r="Y6" s="120">
        <f>+U6+W6</f>
        <v>0.25</v>
      </c>
      <c r="Z6" s="138">
        <f>+V6+X6</f>
        <v>19649.015208000001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0.25</v>
      </c>
      <c r="F7" s="115">
        <v>12</v>
      </c>
      <c r="G7" s="119">
        <f>+'STAFFING WORKSHEET-YR02'!G7*1.02</f>
        <v>7051.1341320000001</v>
      </c>
      <c r="H7" s="133">
        <f t="shared" ref="H7:H29" si="0">+E7*F7*G7</f>
        <v>21153.402396000001</v>
      </c>
      <c r="I7" s="123">
        <v>0.1</v>
      </c>
      <c r="J7" s="136">
        <f t="shared" ref="J7:J16" si="1">+I7/E7*H7</f>
        <v>8461.3609584000005</v>
      </c>
      <c r="K7" s="121">
        <v>0.15</v>
      </c>
      <c r="L7" s="136">
        <f t="shared" ref="L7:L16" si="2">+K7/E7*H7</f>
        <v>12692.041437600001</v>
      </c>
      <c r="U7" s="123">
        <f t="shared" ref="U7:X17" si="3">+I7+M7+Q7</f>
        <v>0.1</v>
      </c>
      <c r="V7" s="136">
        <f t="shared" si="3"/>
        <v>8461.3609584000005</v>
      </c>
      <c r="W7" s="121">
        <f t="shared" si="3"/>
        <v>0.15</v>
      </c>
      <c r="X7" s="136">
        <f t="shared" si="3"/>
        <v>12692.041437600001</v>
      </c>
      <c r="Y7" s="120">
        <f t="shared" ref="Y7:Z17" si="4">+U7+W7</f>
        <v>0.25</v>
      </c>
      <c r="Z7" s="138">
        <f t="shared" si="4"/>
        <v>21153.402396000001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0.2</v>
      </c>
      <c r="F8" s="115">
        <v>12</v>
      </c>
      <c r="G8" s="119">
        <f>+'STAFFING WORKSHEET-YR02'!G8*1.02</f>
        <v>7775.4294</v>
      </c>
      <c r="H8" s="133">
        <f t="shared" si="0"/>
        <v>18661.030560000003</v>
      </c>
      <c r="I8" s="123">
        <v>0.05</v>
      </c>
      <c r="J8" s="136">
        <f t="shared" si="1"/>
        <v>4665.2576400000007</v>
      </c>
      <c r="K8" s="121">
        <v>0.15</v>
      </c>
      <c r="L8" s="136">
        <f t="shared" si="2"/>
        <v>13995.772919999999</v>
      </c>
      <c r="U8" s="123">
        <f t="shared" si="3"/>
        <v>0.05</v>
      </c>
      <c r="V8" s="136">
        <f t="shared" si="3"/>
        <v>4665.2576400000007</v>
      </c>
      <c r="W8" s="121">
        <f t="shared" si="3"/>
        <v>0.15</v>
      </c>
      <c r="X8" s="136">
        <f t="shared" si="3"/>
        <v>13995.772919999999</v>
      </c>
      <c r="Y8" s="120">
        <f t="shared" si="4"/>
        <v>0.2</v>
      </c>
      <c r="Z8" s="138">
        <f t="shared" si="4"/>
        <v>18661.030559999999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WORKSHEET-YR02'!G9*1.02</f>
        <v>3710.7322560000002</v>
      </c>
      <c r="H9" s="133">
        <f t="shared" si="0"/>
        <v>44528.787072000006</v>
      </c>
      <c r="I9" s="123">
        <v>0.75</v>
      </c>
      <c r="J9" s="136">
        <f t="shared" si="1"/>
        <v>33396.590304000005</v>
      </c>
      <c r="K9" s="121">
        <v>0</v>
      </c>
      <c r="L9" s="136">
        <f t="shared" si="2"/>
        <v>0</v>
      </c>
      <c r="Q9" s="123">
        <v>0.25</v>
      </c>
      <c r="R9" s="136">
        <f>+Q9/E9*H9</f>
        <v>11132.196768000002</v>
      </c>
      <c r="S9" s="121">
        <v>0</v>
      </c>
      <c r="T9" s="136">
        <f>+S9/E9*H9</f>
        <v>0</v>
      </c>
      <c r="U9" s="123">
        <f t="shared" si="3"/>
        <v>1</v>
      </c>
      <c r="V9" s="136">
        <f t="shared" si="3"/>
        <v>44528.787072000006</v>
      </c>
      <c r="W9" s="121">
        <f t="shared" si="3"/>
        <v>0</v>
      </c>
      <c r="X9" s="136">
        <f t="shared" si="3"/>
        <v>0</v>
      </c>
      <c r="Y9" s="120">
        <f t="shared" si="4"/>
        <v>1</v>
      </c>
      <c r="Z9" s="138">
        <f t="shared" si="4"/>
        <v>44528.787072000006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WORKSHEET-YR02'!G10*1.02</f>
        <v>3921.9646680000001</v>
      </c>
      <c r="H10" s="133">
        <f t="shared" si="0"/>
        <v>47063.576015999999</v>
      </c>
      <c r="I10" s="123">
        <v>1</v>
      </c>
      <c r="J10" s="136">
        <f t="shared" si="1"/>
        <v>47063.576015999999</v>
      </c>
      <c r="K10" s="121">
        <v>0</v>
      </c>
      <c r="L10" s="136">
        <f t="shared" si="2"/>
        <v>0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U10" s="123">
        <f t="shared" si="3"/>
        <v>1</v>
      </c>
      <c r="V10" s="136">
        <f t="shared" si="3"/>
        <v>47063.576015999999</v>
      </c>
      <c r="W10" s="121">
        <f t="shared" si="3"/>
        <v>0</v>
      </c>
      <c r="X10" s="136">
        <f t="shared" si="3"/>
        <v>0</v>
      </c>
      <c r="Y10" s="120">
        <f t="shared" si="4"/>
        <v>1</v>
      </c>
      <c r="Z10" s="138">
        <f t="shared" si="4"/>
        <v>47063.576015999999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48">
        <v>12</v>
      </c>
      <c r="G11" s="119">
        <f>+'STAFFING WORKSHEET-YR02'!G11*1.02</f>
        <v>2841.3323999999998</v>
      </c>
      <c r="H11" s="133">
        <f t="shared" si="0"/>
        <v>34095.988799999999</v>
      </c>
      <c r="I11" s="142">
        <v>0.25</v>
      </c>
      <c r="J11" s="523">
        <f t="shared" si="1"/>
        <v>8523.9971999999998</v>
      </c>
      <c r="K11" s="141">
        <v>0.25</v>
      </c>
      <c r="L11" s="523">
        <f t="shared" si="2"/>
        <v>8523.9971999999998</v>
      </c>
      <c r="Q11" s="383">
        <v>0.5</v>
      </c>
      <c r="R11" s="395">
        <f>+Q11/E11*H11</f>
        <v>17047.9944</v>
      </c>
      <c r="S11" s="384">
        <v>0</v>
      </c>
      <c r="T11" s="395">
        <f>+S11/E11*H11</f>
        <v>0</v>
      </c>
      <c r="U11" s="123">
        <f t="shared" si="3"/>
        <v>0.75</v>
      </c>
      <c r="V11" s="136">
        <f t="shared" si="3"/>
        <v>25571.991600000001</v>
      </c>
      <c r="W11" s="121">
        <f t="shared" si="3"/>
        <v>0.25</v>
      </c>
      <c r="X11" s="136">
        <f t="shared" si="3"/>
        <v>8523.9971999999998</v>
      </c>
      <c r="Y11" s="120">
        <f t="shared" si="4"/>
        <v>1</v>
      </c>
      <c r="Z11" s="138">
        <f t="shared" si="4"/>
        <v>34095.988799999999</v>
      </c>
      <c r="AA11" s="46" t="str">
        <f t="shared" si="5"/>
        <v>TRUE</v>
      </c>
    </row>
    <row r="12" spans="1:27" s="373" customFormat="1" ht="18" customHeight="1" x14ac:dyDescent="0.35">
      <c r="A12" s="372" t="s">
        <v>9</v>
      </c>
      <c r="B12" s="372" t="s">
        <v>20</v>
      </c>
      <c r="C12" s="373" t="s">
        <v>135</v>
      </c>
      <c r="D12" s="373" t="str">
        <f>+'STAFFING WORKSHEET-YR01 16 MON'!D11</f>
        <v>Social-Emotional Coach</v>
      </c>
      <c r="E12" s="384">
        <v>0.6</v>
      </c>
      <c r="F12" s="382">
        <v>12</v>
      </c>
      <c r="G12" s="376">
        <f>+'STAFFING WORKSHEET-YR02'!G12*1.02</f>
        <v>2379.0480000000002</v>
      </c>
      <c r="H12" s="377">
        <f t="shared" si="0"/>
        <v>17129.1456</v>
      </c>
      <c r="I12" s="378">
        <v>0.6</v>
      </c>
      <c r="J12" s="379">
        <f t="shared" si="1"/>
        <v>17129.1456</v>
      </c>
      <c r="K12" s="374">
        <v>0</v>
      </c>
      <c r="L12" s="379">
        <f t="shared" si="2"/>
        <v>0</v>
      </c>
      <c r="M12" s="378"/>
      <c r="N12" s="379"/>
      <c r="O12" s="374"/>
      <c r="P12" s="379"/>
      <c r="Q12" s="378"/>
      <c r="R12" s="379"/>
      <c r="S12" s="374"/>
      <c r="T12" s="379"/>
      <c r="U12" s="378">
        <f t="shared" si="3"/>
        <v>0.6</v>
      </c>
      <c r="V12" s="379">
        <f t="shared" si="3"/>
        <v>17129.1456</v>
      </c>
      <c r="W12" s="374">
        <f t="shared" si="3"/>
        <v>0</v>
      </c>
      <c r="X12" s="379">
        <f t="shared" si="3"/>
        <v>0</v>
      </c>
      <c r="Y12" s="380">
        <f t="shared" si="4"/>
        <v>0.6</v>
      </c>
      <c r="Z12" s="381">
        <f t="shared" si="4"/>
        <v>17129.1456</v>
      </c>
      <c r="AA12" s="373" t="str">
        <f t="shared" si="5"/>
        <v>TRUE</v>
      </c>
    </row>
    <row r="13" spans="1:27" s="373" customFormat="1" ht="18" customHeight="1" x14ac:dyDescent="0.35">
      <c r="A13" s="372" t="s">
        <v>1</v>
      </c>
      <c r="B13" s="372" t="s">
        <v>20</v>
      </c>
      <c r="C13" s="373" t="s">
        <v>137</v>
      </c>
      <c r="D13" s="373" t="s">
        <v>138</v>
      </c>
      <c r="E13" s="374">
        <v>0.5</v>
      </c>
      <c r="F13" s="375">
        <v>12</v>
      </c>
      <c r="G13" s="376">
        <f>+'STAFFING WORKSHEET-YR02'!G13*1.02</f>
        <v>4624.0057800000004</v>
      </c>
      <c r="H13" s="377">
        <f t="shared" si="0"/>
        <v>27744.034680000004</v>
      </c>
      <c r="I13" s="378">
        <v>0.5</v>
      </c>
      <c r="J13" s="379">
        <f t="shared" si="1"/>
        <v>27744.034680000004</v>
      </c>
      <c r="K13" s="374">
        <v>0</v>
      </c>
      <c r="L13" s="379">
        <f t="shared" si="2"/>
        <v>0</v>
      </c>
      <c r="M13" s="378"/>
      <c r="N13" s="379"/>
      <c r="O13" s="374"/>
      <c r="P13" s="379"/>
      <c r="Q13" s="378"/>
      <c r="R13" s="379"/>
      <c r="S13" s="374"/>
      <c r="T13" s="379"/>
      <c r="U13" s="378">
        <f t="shared" si="3"/>
        <v>0.5</v>
      </c>
      <c r="V13" s="379">
        <f t="shared" si="3"/>
        <v>27744.034680000004</v>
      </c>
      <c r="W13" s="374">
        <f t="shared" si="3"/>
        <v>0</v>
      </c>
      <c r="X13" s="379">
        <f t="shared" si="3"/>
        <v>0</v>
      </c>
      <c r="Y13" s="380">
        <f t="shared" si="4"/>
        <v>0.5</v>
      </c>
      <c r="Z13" s="381">
        <f t="shared" si="4"/>
        <v>27744.034680000004</v>
      </c>
      <c r="AA13" s="373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>
        <v>0</v>
      </c>
      <c r="F14" s="317"/>
      <c r="G14" s="385">
        <f>+'STAFFING WORKSHEET-YR02'!G14*1.02</f>
        <v>0</v>
      </c>
      <c r="H14" s="388">
        <f t="shared" si="0"/>
        <v>0</v>
      </c>
      <c r="I14" s="390"/>
      <c r="J14" s="389"/>
      <c r="K14" s="391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0.1</v>
      </c>
      <c r="F15" s="115">
        <v>12</v>
      </c>
      <c r="G15" s="119">
        <f>+'STAFFING WORKSHEET-YR02'!G15*1.02</f>
        <v>2542.3318440000003</v>
      </c>
      <c r="H15" s="133">
        <f t="shared" si="0"/>
        <v>3050.7982128000008</v>
      </c>
      <c r="I15" s="123">
        <v>0.1</v>
      </c>
      <c r="J15" s="136">
        <f t="shared" si="1"/>
        <v>3050.7982128000008</v>
      </c>
      <c r="K15" s="121">
        <v>0</v>
      </c>
      <c r="L15" s="136">
        <f t="shared" si="2"/>
        <v>0</v>
      </c>
      <c r="U15" s="123">
        <f t="shared" si="3"/>
        <v>0.1</v>
      </c>
      <c r="V15" s="136">
        <f t="shared" si="3"/>
        <v>3050.7982128000008</v>
      </c>
      <c r="W15" s="121">
        <f t="shared" si="3"/>
        <v>0</v>
      </c>
      <c r="X15" s="136">
        <f t="shared" si="3"/>
        <v>0</v>
      </c>
      <c r="Y15" s="120">
        <f t="shared" si="4"/>
        <v>0.1</v>
      </c>
      <c r="Z15" s="138">
        <f t="shared" si="4"/>
        <v>3050.7982128000008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0.1</v>
      </c>
      <c r="F16" s="115">
        <v>12</v>
      </c>
      <c r="G16" s="119">
        <f>+'STAFFING WORKSHEET-YR02'!G16*1.02</f>
        <v>1734.013872</v>
      </c>
      <c r="H16" s="133">
        <f t="shared" si="0"/>
        <v>2080.8166464000001</v>
      </c>
      <c r="I16" s="123">
        <v>0.1</v>
      </c>
      <c r="J16" s="136">
        <f t="shared" si="1"/>
        <v>2080.8166464000001</v>
      </c>
      <c r="K16" s="121">
        <v>0</v>
      </c>
      <c r="L16" s="136">
        <f t="shared" si="2"/>
        <v>0</v>
      </c>
      <c r="U16" s="123">
        <f t="shared" si="3"/>
        <v>0.1</v>
      </c>
      <c r="V16" s="136">
        <f t="shared" si="3"/>
        <v>2080.8166464000001</v>
      </c>
      <c r="W16" s="121">
        <f t="shared" si="3"/>
        <v>0</v>
      </c>
      <c r="X16" s="136">
        <f t="shared" si="3"/>
        <v>0</v>
      </c>
      <c r="Y16" s="120">
        <f t="shared" si="4"/>
        <v>0.1</v>
      </c>
      <c r="Z16" s="138">
        <f t="shared" si="4"/>
        <v>2080.8166464000001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>
        <v>0</v>
      </c>
      <c r="F17" s="317"/>
      <c r="G17" s="394">
        <f>+'STAFFING WORKSHEET-YR02'!G17*1.02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41">
        <v>1</v>
      </c>
      <c r="F19" s="115">
        <v>12</v>
      </c>
      <c r="G19" s="119">
        <f>+'STAFFING WORKSHEET-YR02'!G19*1.02</f>
        <v>3901.5</v>
      </c>
      <c r="H19" s="133">
        <f t="shared" si="0"/>
        <v>46818</v>
      </c>
      <c r="M19" s="142">
        <v>0.25</v>
      </c>
      <c r="N19" s="136">
        <f t="shared" si="6"/>
        <v>11704.5</v>
      </c>
      <c r="O19" s="141">
        <v>0.75</v>
      </c>
      <c r="P19" s="136">
        <f t="shared" si="7"/>
        <v>35113.5</v>
      </c>
      <c r="U19" s="123">
        <f t="shared" ref="U19:X31" si="8">+I19+M19+Q19</f>
        <v>0.25</v>
      </c>
      <c r="V19" s="136">
        <f t="shared" si="8"/>
        <v>11704.5</v>
      </c>
      <c r="W19" s="121">
        <f t="shared" si="8"/>
        <v>0.75</v>
      </c>
      <c r="X19" s="136">
        <f t="shared" si="8"/>
        <v>35113.5</v>
      </c>
      <c r="Y19" s="120">
        <f t="shared" ref="Y19:Z31" si="9">+U19+W19</f>
        <v>1</v>
      </c>
      <c r="Z19" s="138">
        <f t="shared" si="9"/>
        <v>46818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41">
        <v>1</v>
      </c>
      <c r="F20" s="115">
        <v>12</v>
      </c>
      <c r="G20" s="119">
        <f>+'STAFFING WORKSHEET-YR02'!G20*1.02</f>
        <v>3901.5</v>
      </c>
      <c r="H20" s="133">
        <f t="shared" si="0"/>
        <v>46818</v>
      </c>
      <c r="M20" s="142">
        <v>0.25</v>
      </c>
      <c r="N20" s="136">
        <f t="shared" si="6"/>
        <v>11704.5</v>
      </c>
      <c r="O20" s="141">
        <v>0.75</v>
      </c>
      <c r="P20" s="136">
        <f t="shared" si="7"/>
        <v>35113.5</v>
      </c>
      <c r="U20" s="123">
        <f t="shared" si="8"/>
        <v>0.25</v>
      </c>
      <c r="V20" s="136">
        <f t="shared" si="8"/>
        <v>11704.5</v>
      </c>
      <c r="W20" s="121">
        <f t="shared" si="8"/>
        <v>0.75</v>
      </c>
      <c r="X20" s="136">
        <f t="shared" si="8"/>
        <v>35113.5</v>
      </c>
      <c r="Y20" s="120">
        <f t="shared" si="9"/>
        <v>1</v>
      </c>
      <c r="Z20" s="138">
        <f t="shared" si="9"/>
        <v>46818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48">
        <v>12</v>
      </c>
      <c r="G21" s="237">
        <f>+'STAFFING WORKSHEET-YR02'!G21*1.02</f>
        <v>8670.6936000000005</v>
      </c>
      <c r="H21" s="229">
        <f>+E21*F21*G21</f>
        <v>26012.080800000003</v>
      </c>
      <c r="I21" s="230"/>
      <c r="J21" s="231"/>
      <c r="K21" s="228"/>
      <c r="L21" s="231"/>
      <c r="M21" s="230">
        <v>0.25</v>
      </c>
      <c r="N21" s="231">
        <f>+M21/E21*H21</f>
        <v>26012.080800000003</v>
      </c>
      <c r="O21" s="228">
        <v>0</v>
      </c>
      <c r="P21" s="231">
        <f>+O21/E21*H21</f>
        <v>0</v>
      </c>
      <c r="Q21" s="230"/>
      <c r="R21" s="231"/>
      <c r="S21" s="228"/>
      <c r="T21" s="231"/>
      <c r="U21" s="230">
        <f>+I21+M21+Q21</f>
        <v>0.25</v>
      </c>
      <c r="V21" s="231">
        <f>+J21+N21+R21</f>
        <v>26012.080800000003</v>
      </c>
      <c r="W21" s="228">
        <f>+K21+O21+S21</f>
        <v>0</v>
      </c>
      <c r="X21" s="231">
        <f>+L21+P21+T21</f>
        <v>0</v>
      </c>
      <c r="Y21" s="232">
        <f>+U21+W21</f>
        <v>0.25</v>
      </c>
      <c r="Z21" s="233">
        <f>+V21+X21</f>
        <v>26012.080800000003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WORKSHEET-YR02'!G22*1.02</f>
        <v>2601</v>
      </c>
      <c r="H22" s="133">
        <f t="shared" si="0"/>
        <v>31212</v>
      </c>
      <c r="M22" s="142">
        <v>0.75</v>
      </c>
      <c r="N22" s="136">
        <f t="shared" si="6"/>
        <v>23409</v>
      </c>
      <c r="O22" s="141">
        <v>0.25</v>
      </c>
      <c r="P22" s="136">
        <f t="shared" si="7"/>
        <v>7803</v>
      </c>
      <c r="U22" s="123">
        <f t="shared" si="8"/>
        <v>0.75</v>
      </c>
      <c r="V22" s="136">
        <f t="shared" si="8"/>
        <v>23409</v>
      </c>
      <c r="W22" s="121">
        <f t="shared" si="8"/>
        <v>0.25</v>
      </c>
      <c r="X22" s="136">
        <f t="shared" si="8"/>
        <v>7803</v>
      </c>
      <c r="Y22" s="120">
        <f t="shared" si="9"/>
        <v>1</v>
      </c>
      <c r="Z22" s="138">
        <f t="shared" si="9"/>
        <v>31212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WORKSHEET-YR02'!G23*1.02</f>
        <v>2601</v>
      </c>
      <c r="H23" s="133">
        <f t="shared" si="0"/>
        <v>31212</v>
      </c>
      <c r="M23" s="142">
        <v>0.75</v>
      </c>
      <c r="N23" s="136">
        <f t="shared" si="6"/>
        <v>23409</v>
      </c>
      <c r="O23" s="141">
        <v>0.25</v>
      </c>
      <c r="P23" s="136">
        <f t="shared" si="7"/>
        <v>7803</v>
      </c>
      <c r="U23" s="123">
        <f t="shared" si="8"/>
        <v>0.75</v>
      </c>
      <c r="V23" s="136">
        <f t="shared" si="8"/>
        <v>23409</v>
      </c>
      <c r="W23" s="121">
        <f t="shared" si="8"/>
        <v>0.25</v>
      </c>
      <c r="X23" s="136">
        <f t="shared" si="8"/>
        <v>7803</v>
      </c>
      <c r="Y23" s="120">
        <f t="shared" si="9"/>
        <v>1</v>
      </c>
      <c r="Z23" s="138">
        <f t="shared" si="9"/>
        <v>31212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WORKSHEET-YR02'!G24*1.02</f>
        <v>2601</v>
      </c>
      <c r="H24" s="133">
        <f t="shared" si="0"/>
        <v>31212</v>
      </c>
      <c r="M24" s="142">
        <v>0.75</v>
      </c>
      <c r="N24" s="136">
        <f t="shared" si="6"/>
        <v>23409</v>
      </c>
      <c r="O24" s="141">
        <v>0.25</v>
      </c>
      <c r="P24" s="136">
        <f t="shared" si="7"/>
        <v>7803</v>
      </c>
      <c r="U24" s="123">
        <f t="shared" si="8"/>
        <v>0.75</v>
      </c>
      <c r="V24" s="136">
        <f t="shared" si="8"/>
        <v>23409</v>
      </c>
      <c r="W24" s="121">
        <f t="shared" si="8"/>
        <v>0.25</v>
      </c>
      <c r="X24" s="136">
        <f t="shared" si="8"/>
        <v>7803</v>
      </c>
      <c r="Y24" s="120">
        <f t="shared" si="9"/>
        <v>1</v>
      </c>
      <c r="Z24" s="138">
        <f t="shared" si="9"/>
        <v>31212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237">
        <f>+'STAFFING WORKSHEET-YR02'!G25*1.02</f>
        <v>5102.3816999999999</v>
      </c>
      <c r="H25" s="133">
        <f t="shared" si="0"/>
        <v>6122.858040000001</v>
      </c>
      <c r="M25" s="123">
        <v>0.1</v>
      </c>
      <c r="N25" s="136">
        <f t="shared" si="6"/>
        <v>6122.858040000001</v>
      </c>
      <c r="O25" s="121">
        <v>0</v>
      </c>
      <c r="P25" s="136">
        <f t="shared" si="7"/>
        <v>0</v>
      </c>
      <c r="U25" s="123">
        <f t="shared" si="8"/>
        <v>0.1</v>
      </c>
      <c r="V25" s="136">
        <f t="shared" si="8"/>
        <v>6122.858040000001</v>
      </c>
      <c r="W25" s="121">
        <f t="shared" si="8"/>
        <v>0</v>
      </c>
      <c r="X25" s="136">
        <f t="shared" si="8"/>
        <v>0</v>
      </c>
      <c r="Y25" s="120">
        <f t="shared" si="9"/>
        <v>0.1</v>
      </c>
      <c r="Z25" s="138">
        <f t="shared" si="9"/>
        <v>6122.858040000001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48">
        <v>12</v>
      </c>
      <c r="G26" s="237">
        <f>+'STAFFING WORKSHEET-YR02'!G26*1.02</f>
        <v>2601</v>
      </c>
      <c r="H26" s="229">
        <f>+E26*F26*G26</f>
        <v>7803</v>
      </c>
      <c r="I26" s="230"/>
      <c r="J26" s="231"/>
      <c r="K26" s="228"/>
      <c r="L26" s="231"/>
      <c r="M26" s="230">
        <v>0.25</v>
      </c>
      <c r="N26" s="231">
        <f t="shared" si="6"/>
        <v>7803</v>
      </c>
      <c r="O26" s="228">
        <v>0</v>
      </c>
      <c r="P26" s="231">
        <f t="shared" si="7"/>
        <v>0</v>
      </c>
      <c r="Q26" s="230"/>
      <c r="R26" s="231"/>
      <c r="S26" s="228"/>
      <c r="T26" s="231"/>
      <c r="U26" s="230">
        <f>+I26+M26+Q26</f>
        <v>0.25</v>
      </c>
      <c r="V26" s="231">
        <f>+J26+N26+R26</f>
        <v>7803</v>
      </c>
      <c r="W26" s="228">
        <f>+K26+O26+S26</f>
        <v>0</v>
      </c>
      <c r="X26" s="231">
        <f>+L26+P26+T26</f>
        <v>0</v>
      </c>
      <c r="Y26" s="232">
        <f>+U26+W26</f>
        <v>0.25</v>
      </c>
      <c r="Z26" s="233">
        <f>+V26+X26</f>
        <v>7803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21">
        <v>0.02</v>
      </c>
      <c r="F28" s="148">
        <v>12</v>
      </c>
      <c r="G28" s="119">
        <f>+'STAFFING WORKSHEET-YR02'!G28*1.02</f>
        <v>6671.5650000000005</v>
      </c>
      <c r="H28" s="133">
        <f t="shared" si="0"/>
        <v>1601.1756</v>
      </c>
      <c r="Q28" s="123">
        <v>0.02</v>
      </c>
      <c r="R28" s="136">
        <f>+Q28/E28*H28</f>
        <v>1601.1756</v>
      </c>
      <c r="S28" s="121">
        <v>0</v>
      </c>
      <c r="T28" s="136">
        <f>+S28/E28*H28</f>
        <v>0</v>
      </c>
      <c r="U28" s="123">
        <f t="shared" si="8"/>
        <v>0.02</v>
      </c>
      <c r="V28" s="136">
        <f t="shared" si="8"/>
        <v>1601.1756</v>
      </c>
      <c r="W28" s="121">
        <f t="shared" si="8"/>
        <v>0</v>
      </c>
      <c r="X28" s="136">
        <f t="shared" si="8"/>
        <v>0</v>
      </c>
      <c r="Y28" s="120">
        <f t="shared" si="9"/>
        <v>0.02</v>
      </c>
      <c r="Z28" s="138">
        <f t="shared" si="9"/>
        <v>1601.1756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48">
        <v>12</v>
      </c>
      <c r="G29" s="119">
        <f>+'STAFFING WORKSHEET-YR02'!G29*1.02</f>
        <v>11791.196532</v>
      </c>
      <c r="H29" s="133">
        <f t="shared" si="0"/>
        <v>2829.8871676799999</v>
      </c>
      <c r="Q29" s="123">
        <v>0.02</v>
      </c>
      <c r="R29" s="136">
        <f>+Q29/E29*H29</f>
        <v>2829.8871676799999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2829.8871676799999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2829.8871676799999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191</v>
      </c>
      <c r="H30" s="133">
        <f>(75*42)</f>
        <v>3150</v>
      </c>
      <c r="Q30" s="123">
        <f>+E30</f>
        <v>0.04</v>
      </c>
      <c r="R30" s="136">
        <f>+H30</f>
        <v>3150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3150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3150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192</v>
      </c>
      <c r="H31" s="133">
        <f>(60*62)</f>
        <v>3720</v>
      </c>
      <c r="Q31" s="123">
        <f>+E31</f>
        <v>0.03</v>
      </c>
      <c r="R31" s="136">
        <f>+H31</f>
        <v>3720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3720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3720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10.709999999999997</v>
      </c>
      <c r="F33" s="153"/>
      <c r="G33" s="154"/>
      <c r="H33" s="155">
        <f t="shared" ref="H33:T33" si="11">SUM(H6:H32)</f>
        <v>473667.59679888008</v>
      </c>
      <c r="I33" s="163">
        <f t="shared" si="11"/>
        <v>3.5500000000000003</v>
      </c>
      <c r="J33" s="164">
        <f t="shared" si="11"/>
        <v>159975.18334080002</v>
      </c>
      <c r="K33" s="152">
        <f t="shared" si="11"/>
        <v>0.7</v>
      </c>
      <c r="L33" s="164">
        <f t="shared" si="11"/>
        <v>47001.220682400002</v>
      </c>
      <c r="M33" s="163">
        <f t="shared" si="11"/>
        <v>3.35</v>
      </c>
      <c r="N33" s="164">
        <f t="shared" si="11"/>
        <v>133573.93884000002</v>
      </c>
      <c r="O33" s="152">
        <f t="shared" si="11"/>
        <v>2.25</v>
      </c>
      <c r="P33" s="164">
        <f t="shared" si="11"/>
        <v>93636</v>
      </c>
      <c r="Q33" s="163">
        <f t="shared" si="11"/>
        <v>0.8600000000000001</v>
      </c>
      <c r="R33" s="164">
        <f t="shared" si="11"/>
        <v>39481.253935679997</v>
      </c>
      <c r="S33" s="152">
        <f t="shared" si="11"/>
        <v>0</v>
      </c>
      <c r="T33" s="164">
        <f t="shared" si="11"/>
        <v>0</v>
      </c>
      <c r="U33" s="163">
        <f>+I33+M33+Q33</f>
        <v>7.7600000000000007</v>
      </c>
      <c r="V33" s="164">
        <f>+J33+N33+R33</f>
        <v>333030.3761164801</v>
      </c>
      <c r="W33" s="152">
        <f>+K33+O33+S33</f>
        <v>2.95</v>
      </c>
      <c r="X33" s="164">
        <f>+L33+P33+T33</f>
        <v>140637.22068239999</v>
      </c>
      <c r="Y33" s="159">
        <f>+U33+W33</f>
        <v>10.71</v>
      </c>
      <c r="Z33" s="160">
        <f>+V33+X33</f>
        <v>473667.59679888008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94" t="s">
        <v>105</v>
      </c>
      <c r="J36" s="595"/>
      <c r="K36" s="595"/>
      <c r="L36" s="595"/>
      <c r="M36" s="596" t="s">
        <v>106</v>
      </c>
      <c r="N36" s="597"/>
      <c r="O36" s="597"/>
      <c r="P36" s="597"/>
      <c r="Q36" s="598" t="s">
        <v>107</v>
      </c>
      <c r="R36" s="599"/>
      <c r="S36" s="599"/>
      <c r="T36" s="599"/>
      <c r="U36" s="600" t="s">
        <v>166</v>
      </c>
      <c r="V36" s="601"/>
      <c r="W36" s="601"/>
      <c r="X36" s="601"/>
      <c r="Y36" s="601"/>
      <c r="Z36" s="601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2" t="s">
        <v>110</v>
      </c>
      <c r="J37" s="593"/>
      <c r="K37" s="593" t="s">
        <v>111</v>
      </c>
      <c r="L37" s="593"/>
      <c r="M37" s="602" t="s">
        <v>110</v>
      </c>
      <c r="N37" s="593"/>
      <c r="O37" s="593" t="s">
        <v>111</v>
      </c>
      <c r="P37" s="593"/>
      <c r="Q37" s="602" t="s">
        <v>110</v>
      </c>
      <c r="R37" s="593"/>
      <c r="S37" s="593" t="s">
        <v>111</v>
      </c>
      <c r="T37" s="593"/>
      <c r="U37" s="602" t="s">
        <v>110</v>
      </c>
      <c r="V37" s="593"/>
      <c r="W37" s="593" t="s">
        <v>111</v>
      </c>
      <c r="X37" s="593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86086.910868480016</v>
      </c>
      <c r="J38" s="136">
        <f>+J6+J13+J14+J15+J24+J28+J29</f>
        <v>38654.438976000005</v>
      </c>
      <c r="L38" s="136">
        <f>+L6+L13+L14+L15</f>
        <v>11789.4091248</v>
      </c>
      <c r="N38" s="136">
        <f>+N6+N13+N14+N15+N24+N28+N29</f>
        <v>23409</v>
      </c>
      <c r="P38" s="136">
        <f>+P6+P13+P14+P15+P24+P28+P29</f>
        <v>7803</v>
      </c>
      <c r="R38" s="136">
        <f>+R6+R13+R14+R15+R24+R28+R29</f>
        <v>4431.0627676799995</v>
      </c>
      <c r="T38" s="136">
        <f>+T6+T13+T14+T15</f>
        <v>0</v>
      </c>
      <c r="V38" s="136">
        <f t="shared" ref="V38:V44" si="12">+J38+N38+R38</f>
        <v>66494.501743680012</v>
      </c>
      <c r="X38" s="136">
        <f t="shared" ref="X38:X44" si="13">+L38+P38+T38</f>
        <v>19592.4091248</v>
      </c>
      <c r="Z38" s="138">
        <f t="shared" ref="Z38:Z46" si="14">+V38+X38</f>
        <v>86086.910868480016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6870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6870</v>
      </c>
      <c r="S39" s="236"/>
      <c r="T39" s="240">
        <f>+T30+T31</f>
        <v>0</v>
      </c>
      <c r="U39" s="239"/>
      <c r="V39" s="240">
        <f t="shared" si="12"/>
        <v>6870</v>
      </c>
      <c r="W39" s="236"/>
      <c r="X39" s="240">
        <f>+L39+P39+T39</f>
        <v>0</v>
      </c>
      <c r="Y39" s="241"/>
      <c r="Z39" s="242">
        <f>+V39+X39</f>
        <v>6870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107700.94495440001</v>
      </c>
      <c r="J40" s="136">
        <f>+J7+J21+J26+J9+J16+J25</f>
        <v>43938.767908800008</v>
      </c>
      <c r="L40" s="136">
        <f>+L7+L21+L26+L9+L16</f>
        <v>12692.041437600001</v>
      </c>
      <c r="N40" s="136">
        <f>+N7+N21+N26+N9+N16+N25</f>
        <v>39937.938840000003</v>
      </c>
      <c r="P40" s="136">
        <f>+P7+P21+P26+P9+P16+P25</f>
        <v>0</v>
      </c>
      <c r="R40" s="136">
        <f>+R7+R21+R26+R9+R16+R25</f>
        <v>11132.196768000002</v>
      </c>
      <c r="T40" s="136">
        <f>+T7+T21+T26+T9+T16</f>
        <v>0</v>
      </c>
      <c r="V40" s="136">
        <f t="shared" si="12"/>
        <v>95008.903516799997</v>
      </c>
      <c r="X40" s="136">
        <f t="shared" si="13"/>
        <v>12692.041437600001</v>
      </c>
      <c r="Z40" s="138">
        <f t="shared" si="14"/>
        <v>107700.94495439999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99820.595376000012</v>
      </c>
      <c r="J41" s="136">
        <f>+J8+J10+J11+J12+J17-J12</f>
        <v>60252.830856</v>
      </c>
      <c r="L41" s="136">
        <f>+L8+L10+L11+L12+L17-L12</f>
        <v>22519.770120000001</v>
      </c>
      <c r="N41" s="136">
        <f>+N8+N10+N11+N12+N17-N12</f>
        <v>0</v>
      </c>
      <c r="P41" s="136">
        <f>+P8+P10+P11+P12+P17-P12</f>
        <v>0</v>
      </c>
      <c r="R41" s="136">
        <f>+R8+R10+R11+R12+R17-R12</f>
        <v>17047.9944</v>
      </c>
      <c r="T41" s="136">
        <f>+T8+T10+T11+T12+T17-T12</f>
        <v>0</v>
      </c>
      <c r="V41" s="136">
        <f t="shared" si="12"/>
        <v>77300.825255999996</v>
      </c>
      <c r="X41" s="136">
        <f t="shared" si="13"/>
        <v>22519.770120000001</v>
      </c>
      <c r="Z41" s="138">
        <f t="shared" si="14"/>
        <v>99820.595375999997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17129.1456</v>
      </c>
      <c r="I42" s="239"/>
      <c r="J42" s="240">
        <f>+J12</f>
        <v>17129.1456</v>
      </c>
      <c r="K42" s="236"/>
      <c r="L42" s="240">
        <f>+L12</f>
        <v>0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17129.1456</v>
      </c>
      <c r="W42" s="236"/>
      <c r="X42" s="240">
        <f t="shared" si="13"/>
        <v>0</v>
      </c>
      <c r="Y42" s="241"/>
      <c r="Z42" s="242">
        <f t="shared" si="14"/>
        <v>17129.1456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78030</v>
      </c>
      <c r="J43" s="136">
        <f>+J19+J22</f>
        <v>0</v>
      </c>
      <c r="L43" s="136">
        <f>+L19+L22</f>
        <v>0</v>
      </c>
      <c r="N43" s="136">
        <f>+N19+N22</f>
        <v>35113.5</v>
      </c>
      <c r="P43" s="136">
        <f>+P19+P22</f>
        <v>42916.5</v>
      </c>
      <c r="R43" s="136">
        <f>+R19+R22</f>
        <v>0</v>
      </c>
      <c r="T43" s="136">
        <f>+T19+T22</f>
        <v>0</v>
      </c>
      <c r="V43" s="136">
        <f t="shared" si="12"/>
        <v>35113.5</v>
      </c>
      <c r="X43" s="136">
        <f t="shared" si="13"/>
        <v>42916.5</v>
      </c>
      <c r="Z43" s="138">
        <f t="shared" si="14"/>
        <v>78030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78030</v>
      </c>
      <c r="J44" s="136">
        <f>+J20+J23</f>
        <v>0</v>
      </c>
      <c r="L44" s="136">
        <f>+L20+L23</f>
        <v>0</v>
      </c>
      <c r="N44" s="136">
        <f>+N20+N23</f>
        <v>35113.5</v>
      </c>
      <c r="P44" s="136">
        <f>+P20+P23</f>
        <v>42916.5</v>
      </c>
      <c r="R44" s="136">
        <f>+R20+R23</f>
        <v>0</v>
      </c>
      <c r="T44" s="136">
        <f>+T20+T23</f>
        <v>0</v>
      </c>
      <c r="V44" s="136">
        <f t="shared" si="12"/>
        <v>35113.5</v>
      </c>
      <c r="X44" s="136">
        <f t="shared" si="13"/>
        <v>42916.5</v>
      </c>
      <c r="Z44" s="138">
        <f t="shared" si="14"/>
        <v>78030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473667.59679888003</v>
      </c>
      <c r="I45" s="163"/>
      <c r="J45" s="164">
        <f>SUM(J38:J44)</f>
        <v>159975.18334079999</v>
      </c>
      <c r="K45" s="152"/>
      <c r="L45" s="168">
        <f>SUM(L38:L44)</f>
        <v>47001.220682400002</v>
      </c>
      <c r="M45" s="163"/>
      <c r="N45" s="164">
        <f>SUM(N38:N44)</f>
        <v>133573.93884000002</v>
      </c>
      <c r="O45" s="152"/>
      <c r="P45" s="168">
        <f>SUM(P38:P44)</f>
        <v>93636</v>
      </c>
      <c r="Q45" s="163"/>
      <c r="R45" s="164">
        <f>SUM(R38:R44)</f>
        <v>39481.253935679997</v>
      </c>
      <c r="S45" s="152"/>
      <c r="T45" s="168">
        <f>SUM(T38:T44)</f>
        <v>0</v>
      </c>
      <c r="U45" s="163"/>
      <c r="V45" s="164">
        <f>SUM(V38:V44)</f>
        <v>333030.37611647998</v>
      </c>
      <c r="W45" s="152"/>
      <c r="X45" s="164">
        <f>SUM(X38:X44)</f>
        <v>140637.22068239999</v>
      </c>
      <c r="Y45" s="159"/>
      <c r="Z45" s="160">
        <f t="shared" si="14"/>
        <v>473667.59679887997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333030.37611647998</v>
      </c>
      <c r="W46" s="198"/>
      <c r="X46" s="197">
        <f>+L45+P45+T45</f>
        <v>140637.22068239999</v>
      </c>
      <c r="Y46" s="199"/>
      <c r="Z46" s="200">
        <f t="shared" si="14"/>
        <v>473667.59679887997</v>
      </c>
      <c r="AB46" s="244"/>
    </row>
    <row r="47" spans="1:28" x14ac:dyDescent="0.35">
      <c r="H47" s="134"/>
      <c r="I47" s="594" t="s">
        <v>105</v>
      </c>
      <c r="J47" s="595"/>
      <c r="K47" s="595"/>
      <c r="L47" s="595"/>
      <c r="M47" s="596" t="s">
        <v>106</v>
      </c>
      <c r="N47" s="597"/>
      <c r="O47" s="597"/>
      <c r="P47" s="597"/>
      <c r="Q47" s="598" t="s">
        <v>107</v>
      </c>
      <c r="R47" s="599"/>
      <c r="S47" s="599"/>
      <c r="T47" s="599"/>
      <c r="U47" s="600" t="s">
        <v>166</v>
      </c>
      <c r="V47" s="601"/>
      <c r="W47" s="601"/>
      <c r="X47" s="601"/>
      <c r="Y47" s="601"/>
      <c r="Z47" s="601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2" t="s">
        <v>110</v>
      </c>
      <c r="J48" s="593"/>
      <c r="K48" s="593" t="s">
        <v>111</v>
      </c>
      <c r="L48" s="593"/>
      <c r="M48" s="602" t="s">
        <v>110</v>
      </c>
      <c r="N48" s="593"/>
      <c r="O48" s="593" t="s">
        <v>111</v>
      </c>
      <c r="P48" s="593"/>
      <c r="Q48" s="602" t="s">
        <v>110</v>
      </c>
      <c r="R48" s="593"/>
      <c r="S48" s="593" t="s">
        <v>111</v>
      </c>
      <c r="T48" s="593"/>
      <c r="U48" s="602" t="s">
        <v>110</v>
      </c>
      <c r="V48" s="593"/>
      <c r="W48" s="593" t="s">
        <v>111</v>
      </c>
      <c r="X48" s="593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32713.026130022405</v>
      </c>
      <c r="I49" s="123">
        <v>0.3</v>
      </c>
      <c r="J49" s="136">
        <f>+J38*I49</f>
        <v>11596.3316928</v>
      </c>
      <c r="K49" s="121">
        <f>+E49-I49</f>
        <v>8.0000000000000016E-2</v>
      </c>
      <c r="L49" s="136">
        <f>+J38*K49</f>
        <v>3092.3551180800009</v>
      </c>
      <c r="M49" s="123">
        <v>0.3</v>
      </c>
      <c r="N49" s="136">
        <f>+N38*M49</f>
        <v>7022.7</v>
      </c>
      <c r="O49" s="121">
        <f>+E49-M49</f>
        <v>8.0000000000000016E-2</v>
      </c>
      <c r="P49" s="136">
        <f>+N38*O49</f>
        <v>1872.7200000000003</v>
      </c>
      <c r="Q49" s="123">
        <v>0.3</v>
      </c>
      <c r="R49" s="136">
        <f>+R38*Q49</f>
        <v>1329.3188303039999</v>
      </c>
      <c r="S49" s="121">
        <f>+E49-Q49</f>
        <v>8.0000000000000016E-2</v>
      </c>
      <c r="T49" s="136">
        <f>+R38*S49</f>
        <v>354.48502141440002</v>
      </c>
      <c r="V49" s="136">
        <f>+J49+N49+R49</f>
        <v>19948.350523104</v>
      </c>
      <c r="X49" s="136">
        <f>+L49+P49+T49</f>
        <v>5319.5601394944015</v>
      </c>
      <c r="Z49" s="138">
        <f>+V49+X49</f>
        <v>25267.910662598402</v>
      </c>
    </row>
    <row r="50" spans="1:28" x14ac:dyDescent="0.35">
      <c r="B50" s="176"/>
      <c r="E50" s="175"/>
      <c r="K50" s="121">
        <f>+E49</f>
        <v>0.38</v>
      </c>
      <c r="L50" s="136">
        <f>+L38*K50</f>
        <v>4479.9754674240003</v>
      </c>
      <c r="O50" s="121">
        <f>+E49</f>
        <v>0.38</v>
      </c>
      <c r="P50" s="136">
        <f>+P38*O50</f>
        <v>2965.14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7445.1154674240006</v>
      </c>
      <c r="Z50" s="138">
        <f>+V50+X50</f>
        <v>7445.1154674240006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32713.026130022405</v>
      </c>
      <c r="I51" s="156"/>
      <c r="J51" s="157">
        <f>SUM(J49:J50)</f>
        <v>11596.3316928</v>
      </c>
      <c r="K51" s="158"/>
      <c r="L51" s="157">
        <f>SUM(L49:L50)</f>
        <v>7572.3305855040016</v>
      </c>
      <c r="M51" s="156"/>
      <c r="N51" s="157">
        <f>SUM(N49:N50)</f>
        <v>7022.7</v>
      </c>
      <c r="O51" s="158"/>
      <c r="P51" s="157">
        <f>SUM(P49:P50)</f>
        <v>4837.8600000000006</v>
      </c>
      <c r="Q51" s="156"/>
      <c r="R51" s="157">
        <f>SUM(R49:R50)</f>
        <v>1329.3188303039999</v>
      </c>
      <c r="S51" s="158"/>
      <c r="T51" s="157">
        <f>SUM(T49:T50)</f>
        <v>354.48502141440002</v>
      </c>
      <c r="U51" s="156"/>
      <c r="V51" s="157">
        <f>+J51+N51+R51</f>
        <v>19948.350523104</v>
      </c>
      <c r="W51" s="158"/>
      <c r="X51" s="157">
        <f>+L51+P51+T51</f>
        <v>12764.675606918403</v>
      </c>
      <c r="Y51" s="170"/>
      <c r="Z51" s="171">
        <f>+V51+X51</f>
        <v>32713.026130022401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36618.321284496007</v>
      </c>
      <c r="I53" s="123">
        <v>0.3</v>
      </c>
      <c r="J53" s="136">
        <f>+J40*I53</f>
        <v>13181.630372640002</v>
      </c>
      <c r="K53" s="121">
        <f>+E53-I53</f>
        <v>4.0000000000000036E-2</v>
      </c>
      <c r="L53" s="136">
        <f>+J40*K53</f>
        <v>1757.5507163520019</v>
      </c>
      <c r="M53" s="123">
        <v>0.3</v>
      </c>
      <c r="N53" s="136">
        <f>+N40*M53</f>
        <v>11981.381652</v>
      </c>
      <c r="O53" s="121">
        <f>+E53-M53</f>
        <v>4.0000000000000036E-2</v>
      </c>
      <c r="P53" s="136">
        <f>+N40*O53</f>
        <v>1597.5175536000015</v>
      </c>
      <c r="Q53" s="123">
        <v>0.3</v>
      </c>
      <c r="R53" s="136">
        <f>+R40*Q53</f>
        <v>3339.6590304000006</v>
      </c>
      <c r="S53" s="121">
        <f>+E53-Q53</f>
        <v>4.0000000000000036E-2</v>
      </c>
      <c r="T53" s="136">
        <f>+R40*S53</f>
        <v>445.28787072000046</v>
      </c>
      <c r="V53" s="136">
        <f>+J53+N53+R53</f>
        <v>28502.671055040006</v>
      </c>
      <c r="X53" s="136">
        <f>+L53+P53+T53</f>
        <v>3800.3561406720037</v>
      </c>
      <c r="Z53" s="138">
        <f>+V53+X53</f>
        <v>32303.027195712009</v>
      </c>
    </row>
    <row r="54" spans="1:28" x14ac:dyDescent="0.35">
      <c r="B54" s="176"/>
      <c r="E54" s="166"/>
      <c r="K54" s="121">
        <f>+E53</f>
        <v>0.34</v>
      </c>
      <c r="L54" s="136">
        <f>+L40*K54</f>
        <v>4315.2940887840005</v>
      </c>
      <c r="O54" s="121">
        <f>+E53</f>
        <v>0.34</v>
      </c>
      <c r="P54" s="136">
        <f>+P40*O54</f>
        <v>0</v>
      </c>
      <c r="S54" s="121">
        <f>+E53</f>
        <v>0.34</v>
      </c>
      <c r="T54" s="136">
        <f>+T40*S54</f>
        <v>0</v>
      </c>
      <c r="X54" s="136">
        <f>+L54+P54+T54</f>
        <v>4315.2940887840005</v>
      </c>
      <c r="Z54" s="138">
        <f>+V54+X54</f>
        <v>4315.2940887840005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36618.321284496007</v>
      </c>
      <c r="I55" s="156"/>
      <c r="J55" s="157">
        <f>SUM(J53:J54)</f>
        <v>13181.630372640002</v>
      </c>
      <c r="K55" s="158"/>
      <c r="L55" s="157">
        <f>SUM(L53:L54)</f>
        <v>6072.8448051360028</v>
      </c>
      <c r="M55" s="156"/>
      <c r="N55" s="157">
        <f>SUM(N53:N54)</f>
        <v>11981.381652</v>
      </c>
      <c r="O55" s="158"/>
      <c r="P55" s="157">
        <f>SUM(P53:P54)</f>
        <v>1597.5175536000015</v>
      </c>
      <c r="Q55" s="156"/>
      <c r="R55" s="157">
        <f>SUM(R53:R54)</f>
        <v>3339.6590304000006</v>
      </c>
      <c r="S55" s="158"/>
      <c r="T55" s="157">
        <f>SUM(T53:T54)</f>
        <v>445.28787072000046</v>
      </c>
      <c r="U55" s="156"/>
      <c r="V55" s="157">
        <f>+J55+N55+R55</f>
        <v>28502.671055040006</v>
      </c>
      <c r="W55" s="158"/>
      <c r="X55" s="157">
        <f>+L55+P55+T55</f>
        <v>8115.650229456005</v>
      </c>
      <c r="Y55" s="170"/>
      <c r="Z55" s="171">
        <f>+V55+X55</f>
        <v>36618.321284496007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19964.119075200004</v>
      </c>
      <c r="I57" s="123">
        <v>0.2</v>
      </c>
      <c r="J57" s="136">
        <f>+J41*I57</f>
        <v>12050.5661712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3409.59888</v>
      </c>
      <c r="S57" s="121">
        <f>+E57-Q57</f>
        <v>0</v>
      </c>
      <c r="T57" s="136">
        <f>+R41*S57</f>
        <v>0</v>
      </c>
      <c r="V57" s="136">
        <f>+J57+N57+R57</f>
        <v>15460.1650512</v>
      </c>
      <c r="X57" s="136">
        <f>+L57+P57+T57</f>
        <v>0</v>
      </c>
      <c r="Z57" s="138">
        <f>+V57+X57</f>
        <v>15460.1650512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4503.9540240000006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0</v>
      </c>
      <c r="V58" s="136">
        <f>+J58+N58+R58</f>
        <v>0</v>
      </c>
      <c r="X58" s="136">
        <f>+L58+P58+T58</f>
        <v>4503.9540240000006</v>
      </c>
      <c r="Z58" s="138">
        <f>+V58+X58</f>
        <v>4503.9540240000006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19964.119075200004</v>
      </c>
      <c r="I59" s="156"/>
      <c r="J59" s="157">
        <f>SUM(J57:J58)</f>
        <v>12050.5661712</v>
      </c>
      <c r="K59" s="158"/>
      <c r="L59" s="157">
        <f>SUM(L57:L58)</f>
        <v>4503.9540240000006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3409.59888</v>
      </c>
      <c r="S59" s="158"/>
      <c r="T59" s="157">
        <f>SUM(T57:T58)</f>
        <v>0</v>
      </c>
      <c r="U59" s="156"/>
      <c r="V59" s="157">
        <f>+J59+N59+R59</f>
        <v>15460.1650512</v>
      </c>
      <c r="W59" s="158"/>
      <c r="X59" s="157">
        <f>+L59+P59+T59</f>
        <v>4503.9540240000006</v>
      </c>
      <c r="Y59" s="170"/>
      <c r="Z59" s="171">
        <f>+V59+X59</f>
        <v>19964.1190752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23409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10534.05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10534.05</v>
      </c>
      <c r="X61" s="136">
        <f>+L61+P61+T61</f>
        <v>0</v>
      </c>
      <c r="Z61" s="138">
        <f>+V61+X61</f>
        <v>10534.05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12874.949999999999</v>
      </c>
      <c r="S62" s="121">
        <f>+E61</f>
        <v>0.3</v>
      </c>
      <c r="V62" s="136">
        <f>+J62+N62+R62</f>
        <v>0</v>
      </c>
      <c r="X62" s="136">
        <f>+L62+P62+T62</f>
        <v>12874.949999999999</v>
      </c>
      <c r="Z62" s="138">
        <f>+V62+X62</f>
        <v>12874.949999999999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23409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10534.05</v>
      </c>
      <c r="O63" s="158"/>
      <c r="P63" s="157">
        <f>SUM(P61:P62)</f>
        <v>12874.949999999999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10534.05</v>
      </c>
      <c r="W63" s="158"/>
      <c r="X63" s="157">
        <f>+L63+P63+T63</f>
        <v>12874.949999999999</v>
      </c>
      <c r="Y63" s="170"/>
      <c r="Z63" s="171">
        <f>+V63+X63</f>
        <v>23409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23409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10534.05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10534.05</v>
      </c>
      <c r="X65" s="136">
        <f>+L65+P65+T65</f>
        <v>0</v>
      </c>
      <c r="Z65" s="138">
        <f>+V65+X65</f>
        <v>10534.05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12874.949999999999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12874.949999999999</v>
      </c>
      <c r="Z66" s="138">
        <f>+V66+X66</f>
        <v>12874.949999999999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23409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10534.05</v>
      </c>
      <c r="O67" s="158"/>
      <c r="P67" s="157">
        <f>SUM(P65:P66)</f>
        <v>12874.949999999999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10534.05</v>
      </c>
      <c r="W67" s="158"/>
      <c r="X67" s="157">
        <f>+L67+P67+T67</f>
        <v>12874.949999999999</v>
      </c>
      <c r="Y67" s="170"/>
      <c r="Z67" s="171">
        <f>+V67+X67</f>
        <v>23409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54977.657651280009</v>
      </c>
      <c r="M69" s="259"/>
      <c r="N69" s="260"/>
      <c r="O69" s="261"/>
      <c r="P69" s="262">
        <f>+N70+P70</f>
        <v>72257.459205599996</v>
      </c>
      <c r="Q69" s="259"/>
      <c r="R69" s="260"/>
      <c r="S69" s="261"/>
      <c r="T69" s="262">
        <f>+R70+T70</f>
        <v>8878.3496328384008</v>
      </c>
      <c r="U69" s="259"/>
      <c r="V69" s="260"/>
      <c r="W69" s="261"/>
      <c r="X69" s="260"/>
      <c r="Y69" s="263"/>
      <c r="Z69" s="246">
        <f>+T69+P69+L69</f>
        <v>136113.46648971841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136113.46648971841</v>
      </c>
      <c r="I70" s="129"/>
      <c r="J70" s="137">
        <f>+J51+J55+J59+J63+J67</f>
        <v>36828.528236640006</v>
      </c>
      <c r="K70" s="130"/>
      <c r="L70" s="243">
        <f>+L51+L55+L59+L63+L67</f>
        <v>18149.129414640003</v>
      </c>
      <c r="M70" s="129"/>
      <c r="N70" s="137">
        <f>+N51+N55+N59+N63+N67</f>
        <v>40072.181651999999</v>
      </c>
      <c r="O70" s="130"/>
      <c r="P70" s="243">
        <f>+P51+P55+P59+P63+P67</f>
        <v>32185.277553599997</v>
      </c>
      <c r="Q70" s="129"/>
      <c r="R70" s="137">
        <f>+R51+R55+R59+R63+R67</f>
        <v>8078.5767407040003</v>
      </c>
      <c r="S70" s="130"/>
      <c r="T70" s="243">
        <f>+T51+T55+T59+T63+T67</f>
        <v>799.77289213440054</v>
      </c>
      <c r="U70" s="129"/>
      <c r="V70" s="137">
        <f>+V67+V63+V59+V55+V51</f>
        <v>84979.286629344002</v>
      </c>
      <c r="W70" s="137"/>
      <c r="X70" s="137">
        <f>+X67+X63+X59+X55+X51</f>
        <v>51134.17986037441</v>
      </c>
      <c r="Y70" s="137"/>
      <c r="Z70" s="137">
        <f>+Z67+Z63+Z59+Z55+Z51</f>
        <v>136113.46648971841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84979.286629344002</v>
      </c>
      <c r="W71" s="198"/>
      <c r="X71" s="197">
        <f>+L70+P70+T70</f>
        <v>51134.179860374403</v>
      </c>
      <c r="Y71" s="199"/>
      <c r="Z71" s="200">
        <f>+V71+X71</f>
        <v>136113.46648971841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261954.06167448001</v>
      </c>
      <c r="M72" s="251"/>
      <c r="N72" s="252"/>
      <c r="O72" s="253"/>
      <c r="P72" s="254">
        <f>+N73+P73</f>
        <v>299467.39804560004</v>
      </c>
      <c r="Q72" s="255"/>
      <c r="R72" s="256"/>
      <c r="S72" s="257"/>
      <c r="T72" s="258">
        <f>+R73+T73</f>
        <v>48359.603568518396</v>
      </c>
      <c r="U72" s="259"/>
      <c r="V72" s="260"/>
      <c r="W72" s="261"/>
      <c r="X72" s="260"/>
      <c r="Y72" s="263"/>
      <c r="Z72" s="246">
        <f>+T72+P72+L72</f>
        <v>609781.06328859844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609781.06328859844</v>
      </c>
      <c r="I73" s="184"/>
      <c r="J73" s="183">
        <f>+J70+J45</f>
        <v>196803.71157744</v>
      </c>
      <c r="K73" s="185"/>
      <c r="L73" s="183">
        <f>+L70+L45</f>
        <v>65150.350097040005</v>
      </c>
      <c r="M73" s="186"/>
      <c r="N73" s="187">
        <f>+N70+N45</f>
        <v>173646.12049200002</v>
      </c>
      <c r="O73" s="188"/>
      <c r="P73" s="187">
        <f>+P70+P45</f>
        <v>125821.2775536</v>
      </c>
      <c r="Q73" s="189"/>
      <c r="R73" s="190">
        <f>+R70+R45</f>
        <v>47559.830676383994</v>
      </c>
      <c r="S73" s="191"/>
      <c r="T73" s="190">
        <f>+T70+T45</f>
        <v>799.77289213440054</v>
      </c>
      <c r="U73" s="192"/>
      <c r="V73" s="193">
        <f t="shared" ref="V73:V79" si="16">+J73+N73+R73</f>
        <v>418009.66274582403</v>
      </c>
      <c r="W73" s="194"/>
      <c r="X73" s="193">
        <f t="shared" ref="X73:X79" si="17">+L73+P73+T73</f>
        <v>191771.40054277441</v>
      </c>
      <c r="Y73" s="195"/>
      <c r="Z73" s="196">
        <f t="shared" ref="Z73:Z79" si="18">+V73+X73</f>
        <v>609781.06328859844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125669.93699850242</v>
      </c>
      <c r="J74" s="136">
        <f>+J38+J51</f>
        <v>50250.770668800003</v>
      </c>
      <c r="L74" s="136">
        <f>+L38+L51</f>
        <v>19361.739710304002</v>
      </c>
      <c r="N74" s="136">
        <f>+N38+N51</f>
        <v>30431.7</v>
      </c>
      <c r="P74" s="136">
        <f>+P38+P51</f>
        <v>12640.86</v>
      </c>
      <c r="R74" s="136">
        <f>+R38+R39+R51</f>
        <v>12630.381597984</v>
      </c>
      <c r="T74" s="136">
        <f>+T38+T51</f>
        <v>354.48502141440002</v>
      </c>
      <c r="V74" s="136">
        <f t="shared" si="16"/>
        <v>93312.852266784001</v>
      </c>
      <c r="X74" s="136">
        <f t="shared" si="17"/>
        <v>32357.084731718402</v>
      </c>
      <c r="Z74" s="138">
        <f t="shared" si="18"/>
        <v>125669.93699850241</v>
      </c>
    </row>
    <row r="75" spans="1:27" x14ac:dyDescent="0.35">
      <c r="B75"/>
      <c r="E75" s="121" t="s">
        <v>7</v>
      </c>
      <c r="H75" s="133">
        <f>+H40+H55</f>
        <v>144319.266238896</v>
      </c>
      <c r="J75" s="136">
        <f>+J40+J55</f>
        <v>57120.398281440008</v>
      </c>
      <c r="L75" s="136">
        <f>+L40+L55</f>
        <v>18764.886242736004</v>
      </c>
      <c r="N75" s="136">
        <f>+N40+N55</f>
        <v>51919.320491999999</v>
      </c>
      <c r="P75" s="136">
        <f>+P40+P55</f>
        <v>1597.5175536000015</v>
      </c>
      <c r="R75" s="136">
        <f>+R40+R55</f>
        <v>14471.855798400002</v>
      </c>
      <c r="T75" s="136">
        <f>+T40+T55</f>
        <v>445.28787072000046</v>
      </c>
      <c r="U75" s="349" t="s">
        <v>178</v>
      </c>
      <c r="V75" s="350">
        <f t="shared" si="16"/>
        <v>123511.57457184001</v>
      </c>
      <c r="X75" s="136">
        <f t="shared" si="17"/>
        <v>20807.691667056006</v>
      </c>
      <c r="Z75" s="138">
        <f t="shared" si="18"/>
        <v>144319.26623889603</v>
      </c>
    </row>
    <row r="76" spans="1:27" x14ac:dyDescent="0.35">
      <c r="B76"/>
      <c r="E76" s="121" t="s">
        <v>9</v>
      </c>
      <c r="H76" s="133">
        <f>+H41+H59+H42</f>
        <v>136913.8600512</v>
      </c>
      <c r="J76" s="136">
        <f>+J41+J59+J42</f>
        <v>89432.542627200004</v>
      </c>
      <c r="L76" s="136">
        <f>+L41+L59+L42</f>
        <v>27023.724144</v>
      </c>
      <c r="N76" s="136">
        <f>+N41+N59+N42</f>
        <v>0</v>
      </c>
      <c r="P76" s="136">
        <f>+P41+P59+P42</f>
        <v>0</v>
      </c>
      <c r="R76" s="136">
        <f>+R41+R59+R42</f>
        <v>20457.593280000001</v>
      </c>
      <c r="T76" s="136">
        <f>+T41+T59+T42</f>
        <v>0</v>
      </c>
      <c r="U76" s="349" t="s">
        <v>178</v>
      </c>
      <c r="V76" s="350">
        <f t="shared" si="16"/>
        <v>109890.13590720001</v>
      </c>
      <c r="X76" s="136">
        <f t="shared" si="17"/>
        <v>27023.724144</v>
      </c>
      <c r="Z76" s="138">
        <f t="shared" si="18"/>
        <v>136913.8600512</v>
      </c>
    </row>
    <row r="77" spans="1:27" x14ac:dyDescent="0.35">
      <c r="B77"/>
      <c r="E77" s="121" t="s">
        <v>11</v>
      </c>
      <c r="H77" s="133">
        <f>+H43+H63</f>
        <v>101439</v>
      </c>
      <c r="J77" s="136">
        <f>+J43+J63</f>
        <v>0</v>
      </c>
      <c r="L77" s="136">
        <f>+L43+L63</f>
        <v>0</v>
      </c>
      <c r="N77" s="136">
        <f>+N43+N63</f>
        <v>45647.55</v>
      </c>
      <c r="P77" s="136">
        <f>+P43+P63</f>
        <v>55791.45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6"/>
        <v>45647.55</v>
      </c>
      <c r="X77" s="136">
        <f t="shared" si="17"/>
        <v>55791.45</v>
      </c>
      <c r="Z77" s="138">
        <f t="shared" si="18"/>
        <v>101439</v>
      </c>
    </row>
    <row r="78" spans="1:27" x14ac:dyDescent="0.35">
      <c r="B78"/>
      <c r="E78" s="121" t="s">
        <v>13</v>
      </c>
      <c r="H78" s="133">
        <f>+H44+H67</f>
        <v>101439</v>
      </c>
      <c r="J78" s="136">
        <f>+J44+J67</f>
        <v>0</v>
      </c>
      <c r="L78" s="136">
        <f>+L44+L67</f>
        <v>0</v>
      </c>
      <c r="N78" s="136">
        <f>+N44+N67</f>
        <v>45647.55</v>
      </c>
      <c r="P78" s="136">
        <f>+P44+P67</f>
        <v>55791.45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6"/>
        <v>45647.55</v>
      </c>
      <c r="X78" s="136">
        <f t="shared" si="17"/>
        <v>55791.45</v>
      </c>
      <c r="Z78" s="138">
        <f t="shared" si="18"/>
        <v>101439</v>
      </c>
    </row>
    <row r="79" spans="1:27" x14ac:dyDescent="0.35">
      <c r="B79" s="351" t="s">
        <v>179</v>
      </c>
      <c r="H79" s="201">
        <f>SUM(H74:H78)</f>
        <v>609781.06328859844</v>
      </c>
      <c r="J79" s="197">
        <f>SUM(J74:J78)</f>
        <v>196803.71157744003</v>
      </c>
      <c r="L79" s="197">
        <f>SUM(L74:L78)</f>
        <v>65150.350097040005</v>
      </c>
      <c r="N79" s="197">
        <f>SUM(N74:N78)</f>
        <v>173646.12049200002</v>
      </c>
      <c r="P79" s="197">
        <f>SUM(P74:P78)</f>
        <v>125821.2775536</v>
      </c>
      <c r="R79" s="197">
        <f>SUM(R74:R78)</f>
        <v>47559.830676384001</v>
      </c>
      <c r="T79" s="197">
        <f>SUM(T74:T78)</f>
        <v>799.77289213440054</v>
      </c>
      <c r="V79" s="197">
        <f t="shared" si="16"/>
        <v>418009.66274582403</v>
      </c>
      <c r="W79" s="198"/>
      <c r="X79" s="197">
        <f t="shared" si="17"/>
        <v>191771.40054277441</v>
      </c>
      <c r="Y79" s="199"/>
      <c r="Z79" s="200">
        <f t="shared" si="18"/>
        <v>609781.06328859844</v>
      </c>
    </row>
  </sheetData>
  <mergeCells count="37">
    <mergeCell ref="S48:T48"/>
    <mergeCell ref="U48:V48"/>
    <mergeCell ref="W48:X48"/>
    <mergeCell ref="I48:J48"/>
    <mergeCell ref="K48:L48"/>
    <mergeCell ref="M48:N48"/>
    <mergeCell ref="O48:P48"/>
    <mergeCell ref="Q48:R48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E3:H3"/>
    <mergeCell ref="I3:L3"/>
    <mergeCell ref="M3:P3"/>
    <mergeCell ref="Q3:T3"/>
    <mergeCell ref="U3:Z3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9"/>
  <sheetViews>
    <sheetView workbookViewId="0">
      <selection activeCell="E9" sqref="E9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193</v>
      </c>
    </row>
    <row r="3" spans="1:27" x14ac:dyDescent="0.35">
      <c r="A3" s="144" t="s">
        <v>182</v>
      </c>
      <c r="D3" s="143" t="s">
        <v>194</v>
      </c>
      <c r="E3" s="593" t="s">
        <v>104</v>
      </c>
      <c r="F3" s="593"/>
      <c r="G3" s="593"/>
      <c r="H3" s="593"/>
      <c r="I3" s="594" t="s">
        <v>105</v>
      </c>
      <c r="J3" s="595"/>
      <c r="K3" s="595"/>
      <c r="L3" s="595"/>
      <c r="M3" s="596" t="s">
        <v>106</v>
      </c>
      <c r="N3" s="597"/>
      <c r="O3" s="597"/>
      <c r="P3" s="597"/>
      <c r="Q3" s="598" t="s">
        <v>107</v>
      </c>
      <c r="R3" s="599"/>
      <c r="S3" s="599"/>
      <c r="T3" s="599"/>
      <c r="U3" s="600" t="s">
        <v>108</v>
      </c>
      <c r="V3" s="601"/>
      <c r="W3" s="601"/>
      <c r="X3" s="601"/>
      <c r="Y3" s="601"/>
      <c r="Z3" s="601"/>
    </row>
    <row r="4" spans="1:27" s="4" customFormat="1" x14ac:dyDescent="0.35">
      <c r="A4" s="144"/>
      <c r="B4" s="143"/>
      <c r="E4" s="132"/>
      <c r="F4" s="149"/>
      <c r="G4" s="307" t="s">
        <v>195</v>
      </c>
      <c r="H4" s="134"/>
      <c r="I4" s="602" t="s">
        <v>110</v>
      </c>
      <c r="J4" s="593"/>
      <c r="K4" s="593" t="s">
        <v>111</v>
      </c>
      <c r="L4" s="593"/>
      <c r="M4" s="602" t="s">
        <v>110</v>
      </c>
      <c r="N4" s="593"/>
      <c r="O4" s="593" t="s">
        <v>111</v>
      </c>
      <c r="P4" s="593"/>
      <c r="Q4" s="602" t="s">
        <v>110</v>
      </c>
      <c r="R4" s="593"/>
      <c r="S4" s="593" t="s">
        <v>111</v>
      </c>
      <c r="T4" s="593"/>
      <c r="U4" s="602" t="s">
        <v>110</v>
      </c>
      <c r="V4" s="593"/>
      <c r="W4" s="593" t="s">
        <v>111</v>
      </c>
      <c r="X4" s="593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21">
        <v>0.2</v>
      </c>
      <c r="F6" s="115">
        <v>12</v>
      </c>
      <c r="G6" s="119">
        <f>+'STAFFING WORKSHEET-YR03'!G6*1.02</f>
        <v>6680.6651707200008</v>
      </c>
      <c r="H6" s="133">
        <f>+E6*F6*G6</f>
        <v>16033.596409728005</v>
      </c>
      <c r="I6" s="142">
        <v>0</v>
      </c>
      <c r="J6" s="136">
        <f>+I6/E6*H6</f>
        <v>0</v>
      </c>
      <c r="K6" s="141">
        <v>0.2</v>
      </c>
      <c r="L6" s="136">
        <f>+K6/E6*H6</f>
        <v>16033.596409728005</v>
      </c>
      <c r="U6" s="123">
        <f>+I6+M6+Q6</f>
        <v>0</v>
      </c>
      <c r="V6" s="136">
        <f>+J6+N6+R6</f>
        <v>0</v>
      </c>
      <c r="W6" s="121">
        <f>+K6+O6+S6</f>
        <v>0.2</v>
      </c>
      <c r="X6" s="136">
        <f>+L6+P6+T6</f>
        <v>16033.596409728005</v>
      </c>
      <c r="Y6" s="120">
        <f>+U6+W6</f>
        <v>0.2</v>
      </c>
      <c r="Z6" s="138">
        <f>+V6+X6</f>
        <v>16033.596409728005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21">
        <v>0.2</v>
      </c>
      <c r="F7" s="115">
        <v>12</v>
      </c>
      <c r="G7" s="119">
        <f>+'STAFFING WORKSHEET-YR03'!G7*1.02</f>
        <v>7192.1568146400004</v>
      </c>
      <c r="H7" s="133">
        <f t="shared" ref="H7:H29" si="0">+E7*F7*G7</f>
        <v>17261.176355136005</v>
      </c>
      <c r="I7" s="142">
        <v>0</v>
      </c>
      <c r="J7" s="136">
        <f t="shared" ref="J7:J13" si="1">+I7/E7*H7</f>
        <v>0</v>
      </c>
      <c r="K7" s="141">
        <v>0.2</v>
      </c>
      <c r="L7" s="136">
        <f t="shared" ref="L7:L13" si="2">+K7/E7*H7</f>
        <v>17261.176355136005</v>
      </c>
      <c r="U7" s="123">
        <f t="shared" ref="U7:X17" si="3">+I7+M7+Q7</f>
        <v>0</v>
      </c>
      <c r="V7" s="136">
        <f t="shared" si="3"/>
        <v>0</v>
      </c>
      <c r="W7" s="121">
        <f t="shared" si="3"/>
        <v>0.2</v>
      </c>
      <c r="X7" s="136">
        <f t="shared" si="3"/>
        <v>17261.176355136005</v>
      </c>
      <c r="Y7" s="120">
        <f t="shared" ref="Y7:Z17" si="4">+U7+W7</f>
        <v>0.2</v>
      </c>
      <c r="Z7" s="138">
        <f t="shared" si="4"/>
        <v>17261.176355136005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21">
        <v>0.1</v>
      </c>
      <c r="F8" s="115">
        <v>12</v>
      </c>
      <c r="G8" s="119">
        <f>+'STAFFING WORKSHEET-YR03'!G8*1.02</f>
        <v>7930.9379879999997</v>
      </c>
      <c r="H8" s="133">
        <f t="shared" si="0"/>
        <v>9517.1255856000007</v>
      </c>
      <c r="I8" s="142">
        <v>0</v>
      </c>
      <c r="J8" s="136">
        <f t="shared" si="1"/>
        <v>0</v>
      </c>
      <c r="K8" s="141">
        <v>0.1</v>
      </c>
      <c r="L8" s="136">
        <f t="shared" si="2"/>
        <v>9517.1255856000007</v>
      </c>
      <c r="U8" s="123">
        <f t="shared" si="3"/>
        <v>0</v>
      </c>
      <c r="V8" s="136">
        <f t="shared" si="3"/>
        <v>0</v>
      </c>
      <c r="W8" s="121">
        <f t="shared" si="3"/>
        <v>0.1</v>
      </c>
      <c r="X8" s="136">
        <f t="shared" si="3"/>
        <v>9517.1255856000007</v>
      </c>
      <c r="Y8" s="120">
        <f t="shared" si="4"/>
        <v>0.1</v>
      </c>
      <c r="Z8" s="138">
        <f t="shared" si="4"/>
        <v>9517.1255856000007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WORKSHEET-YR03'!G9*1.02</f>
        <v>3784.9469011200003</v>
      </c>
      <c r="H9" s="133">
        <f t="shared" si="0"/>
        <v>45419.362813440006</v>
      </c>
      <c r="I9" s="142">
        <v>0</v>
      </c>
      <c r="J9" s="136">
        <f t="shared" si="1"/>
        <v>0</v>
      </c>
      <c r="K9" s="141">
        <v>0.75</v>
      </c>
      <c r="L9" s="136">
        <f t="shared" si="2"/>
        <v>34064.522110080004</v>
      </c>
      <c r="Q9" s="142">
        <v>0.25</v>
      </c>
      <c r="R9" s="136">
        <f>+Q9/E9*H9</f>
        <v>11354.840703360001</v>
      </c>
      <c r="S9" s="141">
        <v>0</v>
      </c>
      <c r="T9" s="136">
        <f>+S9/E9*H9</f>
        <v>0</v>
      </c>
      <c r="U9" s="123">
        <f t="shared" si="3"/>
        <v>0.25</v>
      </c>
      <c r="V9" s="136">
        <f t="shared" si="3"/>
        <v>11354.840703360001</v>
      </c>
      <c r="W9" s="121">
        <f t="shared" si="3"/>
        <v>0.75</v>
      </c>
      <c r="X9" s="136">
        <f t="shared" si="3"/>
        <v>34064.522110080004</v>
      </c>
      <c r="Y9" s="120">
        <f t="shared" si="4"/>
        <v>1</v>
      </c>
      <c r="Z9" s="138">
        <f t="shared" si="4"/>
        <v>45419.362813440006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WORKSHEET-YR03'!G10*1.02</f>
        <v>4000.4039613600003</v>
      </c>
      <c r="H10" s="133">
        <f t="shared" si="0"/>
        <v>48004.847536320005</v>
      </c>
      <c r="I10" s="142">
        <v>0</v>
      </c>
      <c r="J10" s="136">
        <f t="shared" si="1"/>
        <v>0</v>
      </c>
      <c r="K10" s="141">
        <v>1</v>
      </c>
      <c r="L10" s="136">
        <f t="shared" si="2"/>
        <v>48004.847536320005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Q10" s="142"/>
      <c r="S10" s="141"/>
      <c r="U10" s="123">
        <f t="shared" si="3"/>
        <v>0</v>
      </c>
      <c r="V10" s="136">
        <f t="shared" si="3"/>
        <v>0</v>
      </c>
      <c r="W10" s="121">
        <f t="shared" si="3"/>
        <v>1</v>
      </c>
      <c r="X10" s="136">
        <f t="shared" si="3"/>
        <v>48004.847536320005</v>
      </c>
      <c r="Y10" s="120">
        <f t="shared" si="4"/>
        <v>1</v>
      </c>
      <c r="Z10" s="138">
        <f t="shared" si="4"/>
        <v>48004.847536320005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48">
        <v>12</v>
      </c>
      <c r="G11" s="119">
        <f>+'STAFFING WORKSHEET-YR03'!G11*1.02</f>
        <v>2898.159048</v>
      </c>
      <c r="H11" s="133">
        <f t="shared" si="0"/>
        <v>34777.908576000002</v>
      </c>
      <c r="I11" s="142">
        <v>0</v>
      </c>
      <c r="J11" s="136">
        <f t="shared" si="1"/>
        <v>0</v>
      </c>
      <c r="K11" s="141">
        <v>0.5</v>
      </c>
      <c r="L11" s="136">
        <f t="shared" si="2"/>
        <v>17388.954288000001</v>
      </c>
      <c r="Q11" s="142">
        <v>0</v>
      </c>
      <c r="R11" s="136">
        <f>+Q11/E11*H11</f>
        <v>0</v>
      </c>
      <c r="S11" s="141">
        <v>0.5</v>
      </c>
      <c r="T11" s="136">
        <f>+S11/E11*H11</f>
        <v>17388.954288000001</v>
      </c>
      <c r="U11" s="123">
        <f t="shared" si="3"/>
        <v>0</v>
      </c>
      <c r="V11" s="136">
        <f t="shared" si="3"/>
        <v>0</v>
      </c>
      <c r="W11" s="121">
        <f t="shared" si="3"/>
        <v>1</v>
      </c>
      <c r="X11" s="136">
        <f t="shared" si="3"/>
        <v>34777.908576000002</v>
      </c>
      <c r="Y11" s="120">
        <f t="shared" si="4"/>
        <v>1</v>
      </c>
      <c r="Z11" s="138">
        <f t="shared" si="4"/>
        <v>34777.908576000002</v>
      </c>
      <c r="AA11" s="46" t="str">
        <f t="shared" si="5"/>
        <v>TRUE</v>
      </c>
    </row>
    <row r="12" spans="1:27" s="373" customFormat="1" ht="18" customHeight="1" x14ac:dyDescent="0.35">
      <c r="A12" s="372" t="s">
        <v>9</v>
      </c>
      <c r="B12" s="372" t="s">
        <v>20</v>
      </c>
      <c r="C12" s="373" t="s">
        <v>135</v>
      </c>
      <c r="D12" s="373" t="str">
        <f>+'STAFFING WORKSHEET-YR01 16 MON'!D11</f>
        <v>Social-Emotional Coach</v>
      </c>
      <c r="E12" s="384">
        <v>0.5</v>
      </c>
      <c r="F12" s="382">
        <v>12</v>
      </c>
      <c r="G12" s="376">
        <f>+'STAFFING WORKSHEET-YR03'!G12*1.02</f>
        <v>2426.6289600000005</v>
      </c>
      <c r="H12" s="377">
        <f t="shared" si="0"/>
        <v>14559.773760000004</v>
      </c>
      <c r="I12" s="383">
        <v>0</v>
      </c>
      <c r="J12" s="379">
        <f t="shared" si="1"/>
        <v>0</v>
      </c>
      <c r="K12" s="384">
        <v>0.5</v>
      </c>
      <c r="L12" s="379">
        <f t="shared" si="2"/>
        <v>14559.773760000004</v>
      </c>
      <c r="M12" s="378"/>
      <c r="N12" s="379"/>
      <c r="O12" s="374"/>
      <c r="P12" s="379"/>
      <c r="Q12" s="378"/>
      <c r="R12" s="379"/>
      <c r="S12" s="374"/>
      <c r="T12" s="379"/>
      <c r="U12" s="378">
        <f t="shared" si="3"/>
        <v>0</v>
      </c>
      <c r="V12" s="379">
        <f t="shared" si="3"/>
        <v>0</v>
      </c>
      <c r="W12" s="374">
        <f t="shared" si="3"/>
        <v>0.5</v>
      </c>
      <c r="X12" s="379">
        <f t="shared" si="3"/>
        <v>14559.773760000004</v>
      </c>
      <c r="Y12" s="380">
        <f t="shared" si="4"/>
        <v>0.5</v>
      </c>
      <c r="Z12" s="381">
        <f t="shared" si="4"/>
        <v>14559.773760000004</v>
      </c>
      <c r="AA12" s="373" t="str">
        <f t="shared" si="5"/>
        <v>TRUE</v>
      </c>
    </row>
    <row r="13" spans="1:27" ht="18" customHeight="1" x14ac:dyDescent="0.35">
      <c r="A13" s="143" t="s">
        <v>1</v>
      </c>
      <c r="B13" s="143" t="s">
        <v>20</v>
      </c>
      <c r="C13" t="s">
        <v>137</v>
      </c>
      <c r="D13" t="s">
        <v>138</v>
      </c>
      <c r="E13" s="121">
        <v>0.5</v>
      </c>
      <c r="F13" s="115">
        <v>12</v>
      </c>
      <c r="G13" s="119">
        <f>+'STAFFING WORKSHEET-YR03'!G13*1.02</f>
        <v>4716.4858956000007</v>
      </c>
      <c r="H13" s="133">
        <f t="shared" si="0"/>
        <v>28298.915373600004</v>
      </c>
      <c r="I13" s="142">
        <v>0</v>
      </c>
      <c r="J13" s="136">
        <f t="shared" si="1"/>
        <v>0</v>
      </c>
      <c r="K13" s="141">
        <v>0.5</v>
      </c>
      <c r="L13" s="136">
        <f t="shared" si="2"/>
        <v>28298.915373600004</v>
      </c>
      <c r="U13" s="123">
        <f t="shared" si="3"/>
        <v>0</v>
      </c>
      <c r="V13" s="136">
        <f t="shared" si="3"/>
        <v>0</v>
      </c>
      <c r="W13" s="121">
        <f t="shared" si="3"/>
        <v>0.5</v>
      </c>
      <c r="X13" s="136">
        <f t="shared" si="3"/>
        <v>28298.915373600004</v>
      </c>
      <c r="Y13" s="120">
        <f t="shared" si="4"/>
        <v>0.5</v>
      </c>
      <c r="Z13" s="138">
        <f t="shared" si="4"/>
        <v>28298.915373600004</v>
      </c>
      <c r="AA13" s="46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/>
      <c r="F14" s="317"/>
      <c r="G14" s="385">
        <f>+'STAFFING WORKSHEET-YR03'!G14*1.02</f>
        <v>0</v>
      </c>
      <c r="H14" s="388">
        <f t="shared" si="0"/>
        <v>0</v>
      </c>
      <c r="I14" s="390"/>
      <c r="J14" s="389"/>
      <c r="K14" s="391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41">
        <v>0</v>
      </c>
      <c r="F15" s="148">
        <v>0</v>
      </c>
      <c r="G15" s="119">
        <f>+'STAFFING WORKSHEET-YR03'!G15*1.02</f>
        <v>2593.1784808800003</v>
      </c>
      <c r="H15" s="133">
        <v>0</v>
      </c>
      <c r="I15" s="123">
        <v>0</v>
      </c>
      <c r="K15" s="121">
        <v>0</v>
      </c>
      <c r="U15" s="123">
        <f t="shared" si="3"/>
        <v>0</v>
      </c>
      <c r="V15" s="136">
        <f t="shared" si="3"/>
        <v>0</v>
      </c>
      <c r="W15" s="121">
        <f t="shared" si="3"/>
        <v>0</v>
      </c>
      <c r="X15" s="136">
        <f t="shared" si="3"/>
        <v>0</v>
      </c>
      <c r="Y15" s="120">
        <f t="shared" si="4"/>
        <v>0</v>
      </c>
      <c r="Z15" s="138">
        <f t="shared" si="4"/>
        <v>0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41">
        <v>0</v>
      </c>
      <c r="F16" s="148">
        <v>0</v>
      </c>
      <c r="G16" s="119">
        <f>+'STAFFING WORKSHEET-YR03'!G16*1.02</f>
        <v>1768.69414944</v>
      </c>
      <c r="H16" s="133">
        <v>0</v>
      </c>
      <c r="I16" s="123">
        <v>0</v>
      </c>
      <c r="K16" s="121">
        <v>0</v>
      </c>
      <c r="U16" s="123">
        <f t="shared" si="3"/>
        <v>0</v>
      </c>
      <c r="V16" s="136">
        <f t="shared" si="3"/>
        <v>0</v>
      </c>
      <c r="W16" s="121">
        <f t="shared" si="3"/>
        <v>0</v>
      </c>
      <c r="X16" s="136">
        <f t="shared" si="3"/>
        <v>0</v>
      </c>
      <c r="Y16" s="120">
        <f t="shared" si="4"/>
        <v>0</v>
      </c>
      <c r="Z16" s="138">
        <f t="shared" si="4"/>
        <v>0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/>
      <c r="F17" s="317"/>
      <c r="G17" s="385">
        <f>+'STAFFING WORKSHEET-YR03'!G17*1.02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41">
        <v>1</v>
      </c>
      <c r="F19" s="115">
        <v>12</v>
      </c>
      <c r="G19" s="119">
        <f>+'STAFFING WORKSHEET-YR03'!G19*1.02</f>
        <v>3979.53</v>
      </c>
      <c r="H19" s="133">
        <f t="shared" si="0"/>
        <v>47754.36</v>
      </c>
      <c r="M19" s="142">
        <v>0</v>
      </c>
      <c r="N19" s="136">
        <f t="shared" si="6"/>
        <v>0</v>
      </c>
      <c r="O19" s="141">
        <v>1</v>
      </c>
      <c r="P19" s="136">
        <f t="shared" si="7"/>
        <v>47754.36</v>
      </c>
      <c r="U19" s="123">
        <f t="shared" ref="U19:X31" si="8">+I19+M19+Q19</f>
        <v>0</v>
      </c>
      <c r="V19" s="136">
        <f t="shared" si="8"/>
        <v>0</v>
      </c>
      <c r="W19" s="121">
        <f t="shared" si="8"/>
        <v>1</v>
      </c>
      <c r="X19" s="136">
        <f t="shared" si="8"/>
        <v>47754.36</v>
      </c>
      <c r="Y19" s="120">
        <f t="shared" ref="Y19:Z31" si="9">+U19+W19</f>
        <v>1</v>
      </c>
      <c r="Z19" s="138">
        <f t="shared" si="9"/>
        <v>47754.36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41">
        <v>1</v>
      </c>
      <c r="F20" s="115">
        <v>12</v>
      </c>
      <c r="G20" s="119">
        <f>+'STAFFING WORKSHEET-YR03'!G20*1.02</f>
        <v>3979.53</v>
      </c>
      <c r="H20" s="133">
        <f t="shared" si="0"/>
        <v>47754.36</v>
      </c>
      <c r="M20" s="142">
        <v>0</v>
      </c>
      <c r="N20" s="136">
        <f t="shared" si="6"/>
        <v>0</v>
      </c>
      <c r="O20" s="141">
        <v>1</v>
      </c>
      <c r="P20" s="136">
        <f t="shared" si="7"/>
        <v>47754.36</v>
      </c>
      <c r="U20" s="123">
        <f t="shared" si="8"/>
        <v>0</v>
      </c>
      <c r="V20" s="136">
        <f t="shared" si="8"/>
        <v>0</v>
      </c>
      <c r="W20" s="121">
        <f t="shared" si="8"/>
        <v>1</v>
      </c>
      <c r="X20" s="136">
        <f t="shared" si="8"/>
        <v>47754.36</v>
      </c>
      <c r="Y20" s="120">
        <f t="shared" si="9"/>
        <v>1</v>
      </c>
      <c r="Z20" s="138">
        <f t="shared" si="9"/>
        <v>47754.36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48">
        <v>12</v>
      </c>
      <c r="G21" s="119">
        <f>+'STAFFING WORKSHEET-YR03'!G21*1.02</f>
        <v>8844.1074720000015</v>
      </c>
      <c r="H21" s="229">
        <f>+E21*F21*G21</f>
        <v>26532.322416000003</v>
      </c>
      <c r="I21" s="230"/>
      <c r="J21" s="231"/>
      <c r="K21" s="228"/>
      <c r="L21" s="231"/>
      <c r="M21" s="341">
        <v>0</v>
      </c>
      <c r="N21" s="231">
        <f>+M21/E21*H21</f>
        <v>0</v>
      </c>
      <c r="O21" s="342">
        <v>0.25</v>
      </c>
      <c r="P21" s="231">
        <f>+O21/E21*H21</f>
        <v>26532.322416000003</v>
      </c>
      <c r="Q21" s="230"/>
      <c r="R21" s="231"/>
      <c r="S21" s="228"/>
      <c r="T21" s="231"/>
      <c r="U21" s="230">
        <f>+I21+M21+Q21</f>
        <v>0</v>
      </c>
      <c r="V21" s="231">
        <f>+J21+N21+R21</f>
        <v>0</v>
      </c>
      <c r="W21" s="228">
        <f>+K21+O21+S21</f>
        <v>0.25</v>
      </c>
      <c r="X21" s="231">
        <f>+L21+P21+T21</f>
        <v>26532.322416000003</v>
      </c>
      <c r="Y21" s="232">
        <f>+U21+W21</f>
        <v>0.25</v>
      </c>
      <c r="Z21" s="233">
        <f>+V21+X21</f>
        <v>26532.322416000003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WORKSHEET-YR03'!G22*1.02</f>
        <v>2653.02</v>
      </c>
      <c r="H22" s="133">
        <f t="shared" si="0"/>
        <v>31836.239999999998</v>
      </c>
      <c r="M22" s="142">
        <v>0</v>
      </c>
      <c r="N22" s="136">
        <f t="shared" si="6"/>
        <v>0</v>
      </c>
      <c r="O22" s="141">
        <v>1</v>
      </c>
      <c r="P22" s="136">
        <f t="shared" si="7"/>
        <v>31836.239999999998</v>
      </c>
      <c r="U22" s="123">
        <f t="shared" si="8"/>
        <v>0</v>
      </c>
      <c r="V22" s="136">
        <f t="shared" si="8"/>
        <v>0</v>
      </c>
      <c r="W22" s="121">
        <f t="shared" si="8"/>
        <v>1</v>
      </c>
      <c r="X22" s="136">
        <f t="shared" si="8"/>
        <v>31836.239999999998</v>
      </c>
      <c r="Y22" s="120">
        <f t="shared" si="9"/>
        <v>1</v>
      </c>
      <c r="Z22" s="138">
        <f t="shared" si="9"/>
        <v>31836.239999999998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WORKSHEET-YR03'!G23*1.02</f>
        <v>2653.02</v>
      </c>
      <c r="H23" s="133">
        <f t="shared" si="0"/>
        <v>31836.239999999998</v>
      </c>
      <c r="M23" s="142">
        <v>0</v>
      </c>
      <c r="N23" s="136">
        <f t="shared" si="6"/>
        <v>0</v>
      </c>
      <c r="O23" s="141">
        <v>1</v>
      </c>
      <c r="P23" s="136">
        <f t="shared" si="7"/>
        <v>31836.239999999998</v>
      </c>
      <c r="U23" s="123">
        <f t="shared" si="8"/>
        <v>0</v>
      </c>
      <c r="V23" s="136">
        <f t="shared" si="8"/>
        <v>0</v>
      </c>
      <c r="W23" s="121">
        <f t="shared" si="8"/>
        <v>1</v>
      </c>
      <c r="X23" s="136">
        <f t="shared" si="8"/>
        <v>31836.239999999998</v>
      </c>
      <c r="Y23" s="120">
        <f t="shared" si="9"/>
        <v>1</v>
      </c>
      <c r="Z23" s="138">
        <f t="shared" si="9"/>
        <v>31836.239999999998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WORKSHEET-YR03'!G24*1.02</f>
        <v>2653.02</v>
      </c>
      <c r="H24" s="133">
        <f t="shared" si="0"/>
        <v>31836.239999999998</v>
      </c>
      <c r="M24" s="142">
        <v>0</v>
      </c>
      <c r="N24" s="136">
        <f t="shared" si="6"/>
        <v>0</v>
      </c>
      <c r="O24" s="141">
        <v>1</v>
      </c>
      <c r="P24" s="136">
        <f t="shared" si="7"/>
        <v>31836.239999999998</v>
      </c>
      <c r="U24" s="123">
        <f t="shared" si="8"/>
        <v>0</v>
      </c>
      <c r="V24" s="136">
        <f t="shared" si="8"/>
        <v>0</v>
      </c>
      <c r="W24" s="121">
        <f t="shared" si="8"/>
        <v>1</v>
      </c>
      <c r="X24" s="136">
        <f t="shared" si="8"/>
        <v>31836.239999999998</v>
      </c>
      <c r="Y24" s="120">
        <f t="shared" si="9"/>
        <v>1</v>
      </c>
      <c r="Z24" s="138">
        <f t="shared" si="9"/>
        <v>31836.239999999998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119">
        <f>+'STAFFING WORKSHEET-YR03'!G25*1.02</f>
        <v>5204.4293340000004</v>
      </c>
      <c r="H25" s="133">
        <f t="shared" si="0"/>
        <v>6245.3152008000015</v>
      </c>
      <c r="M25" s="142">
        <v>0</v>
      </c>
      <c r="N25" s="136">
        <f t="shared" si="6"/>
        <v>0</v>
      </c>
      <c r="O25" s="141">
        <v>0.1</v>
      </c>
      <c r="P25" s="136">
        <f t="shared" si="7"/>
        <v>6245.3152008000015</v>
      </c>
      <c r="U25" s="123">
        <f t="shared" si="8"/>
        <v>0</v>
      </c>
      <c r="V25" s="136">
        <f t="shared" si="8"/>
        <v>0</v>
      </c>
      <c r="W25" s="121">
        <f t="shared" si="8"/>
        <v>0.1</v>
      </c>
      <c r="X25" s="136">
        <f t="shared" si="8"/>
        <v>6245.3152008000015</v>
      </c>
      <c r="Y25" s="120">
        <f t="shared" si="9"/>
        <v>0.1</v>
      </c>
      <c r="Z25" s="138">
        <f t="shared" si="9"/>
        <v>6245.3152008000015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48">
        <v>12</v>
      </c>
      <c r="G26" s="119">
        <f>+'STAFFING WORKSHEET-YR03'!G26*1.02</f>
        <v>2653.02</v>
      </c>
      <c r="H26" s="229">
        <f>+E26*F26*G26</f>
        <v>7959.0599999999995</v>
      </c>
      <c r="I26" s="230"/>
      <c r="J26" s="231"/>
      <c r="K26" s="228"/>
      <c r="L26" s="231"/>
      <c r="M26" s="341">
        <v>0</v>
      </c>
      <c r="N26" s="231">
        <f t="shared" si="6"/>
        <v>0</v>
      </c>
      <c r="O26" s="342">
        <v>0.25</v>
      </c>
      <c r="P26" s="231">
        <f t="shared" si="7"/>
        <v>7959.0599999999995</v>
      </c>
      <c r="Q26" s="230"/>
      <c r="R26" s="231"/>
      <c r="S26" s="228"/>
      <c r="T26" s="231"/>
      <c r="U26" s="230">
        <f>+I26+M26+Q26</f>
        <v>0</v>
      </c>
      <c r="V26" s="231">
        <f>+J26+N26+R26</f>
        <v>0</v>
      </c>
      <c r="W26" s="228">
        <f>+K26+O26+S26</f>
        <v>0.25</v>
      </c>
      <c r="X26" s="231">
        <f>+L26+P26+T26</f>
        <v>7959.0599999999995</v>
      </c>
      <c r="Y26" s="232">
        <f>+U26+W26</f>
        <v>0.25</v>
      </c>
      <c r="Z26" s="233">
        <f>+V26+X26</f>
        <v>7959.0599999999995</v>
      </c>
      <c r="AA26" s="114" t="str">
        <f>IF(H26=Z26,"TRUE","FALSE")</f>
        <v>TRUE</v>
      </c>
    </row>
    <row r="27" spans="1:27" ht="18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41">
        <v>0</v>
      </c>
      <c r="F28" s="148">
        <v>0</v>
      </c>
      <c r="G28" s="119">
        <f>+'STAFFING WORKSHEET-YR03'!G28*1.02</f>
        <v>6804.9963000000007</v>
      </c>
      <c r="H28" s="133">
        <f t="shared" si="0"/>
        <v>0</v>
      </c>
      <c r="Q28" s="123">
        <v>0</v>
      </c>
      <c r="S28" s="121">
        <v>0</v>
      </c>
      <c r="U28" s="123">
        <f t="shared" si="8"/>
        <v>0</v>
      </c>
      <c r="V28" s="136">
        <f t="shared" si="8"/>
        <v>0</v>
      </c>
      <c r="W28" s="121">
        <f t="shared" si="8"/>
        <v>0</v>
      </c>
      <c r="X28" s="136">
        <f t="shared" si="8"/>
        <v>0</v>
      </c>
      <c r="Y28" s="120">
        <f t="shared" si="9"/>
        <v>0</v>
      </c>
      <c r="Z28" s="138">
        <f t="shared" si="9"/>
        <v>0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WORKSHEET-YR03'!G29*1.02</f>
        <v>12027.020462640001</v>
      </c>
      <c r="H29" s="133">
        <f t="shared" si="0"/>
        <v>2886.4849110335999</v>
      </c>
      <c r="Q29" s="123">
        <v>0.02</v>
      </c>
      <c r="R29" s="136">
        <f>+Q29/E29*H29</f>
        <v>2886.4849110335999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2886.4849110335999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2886.4849110335999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196</v>
      </c>
      <c r="H30" s="133">
        <f>(75*43)</f>
        <v>3225</v>
      </c>
      <c r="Q30" s="123">
        <f>+E30</f>
        <v>0.04</v>
      </c>
      <c r="R30" s="136">
        <f>+H30</f>
        <v>3225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3225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3225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197</v>
      </c>
      <c r="H31" s="133">
        <f>(60*63)</f>
        <v>3780</v>
      </c>
      <c r="Q31" s="123">
        <f>+E31</f>
        <v>0.03</v>
      </c>
      <c r="R31" s="136">
        <f>+H31</f>
        <v>3780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3780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3780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10.189999999999998</v>
      </c>
      <c r="F33" s="153"/>
      <c r="G33" s="154"/>
      <c r="H33" s="155">
        <f t="shared" ref="H33:T33" si="11">SUM(H6:H32)</f>
        <v>455518.32893765764</v>
      </c>
      <c r="I33" s="163">
        <f t="shared" si="11"/>
        <v>0</v>
      </c>
      <c r="J33" s="164">
        <f t="shared" si="11"/>
        <v>0</v>
      </c>
      <c r="K33" s="152">
        <f t="shared" si="11"/>
        <v>3.75</v>
      </c>
      <c r="L33" s="164">
        <f t="shared" si="11"/>
        <v>185128.91141846403</v>
      </c>
      <c r="M33" s="163">
        <f t="shared" si="11"/>
        <v>0</v>
      </c>
      <c r="N33" s="164">
        <f t="shared" si="11"/>
        <v>0</v>
      </c>
      <c r="O33" s="152">
        <f t="shared" si="11"/>
        <v>5.6</v>
      </c>
      <c r="P33" s="164">
        <f t="shared" si="11"/>
        <v>231754.13761679997</v>
      </c>
      <c r="Q33" s="163">
        <f t="shared" si="11"/>
        <v>0.33999999999999997</v>
      </c>
      <c r="R33" s="164">
        <f t="shared" si="11"/>
        <v>21246.325614393601</v>
      </c>
      <c r="S33" s="152">
        <f t="shared" si="11"/>
        <v>0.5</v>
      </c>
      <c r="T33" s="164">
        <f t="shared" si="11"/>
        <v>17388.954288000001</v>
      </c>
      <c r="U33" s="163">
        <f>+I33+M33+Q33</f>
        <v>0.33999999999999997</v>
      </c>
      <c r="V33" s="164">
        <f>+J33+N33+R33</f>
        <v>21246.325614393601</v>
      </c>
      <c r="W33" s="152">
        <f>+K33+O33+S33</f>
        <v>9.85</v>
      </c>
      <c r="X33" s="164">
        <f>+L33+P33+T33</f>
        <v>434272.00332326401</v>
      </c>
      <c r="Y33" s="159">
        <f>+U33+W33</f>
        <v>10.19</v>
      </c>
      <c r="Z33" s="160">
        <f>+V33+X33</f>
        <v>455518.32893765764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94" t="s">
        <v>105</v>
      </c>
      <c r="J36" s="595"/>
      <c r="K36" s="595"/>
      <c r="L36" s="595"/>
      <c r="M36" s="596" t="s">
        <v>106</v>
      </c>
      <c r="N36" s="597"/>
      <c r="O36" s="597"/>
      <c r="P36" s="597"/>
      <c r="Q36" s="598" t="s">
        <v>107</v>
      </c>
      <c r="R36" s="599"/>
      <c r="S36" s="599"/>
      <c r="T36" s="599"/>
      <c r="U36" s="600" t="s">
        <v>166</v>
      </c>
      <c r="V36" s="601"/>
      <c r="W36" s="601"/>
      <c r="X36" s="601"/>
      <c r="Y36" s="601"/>
      <c r="Z36" s="601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2" t="s">
        <v>110</v>
      </c>
      <c r="J37" s="593"/>
      <c r="K37" s="593" t="s">
        <v>111</v>
      </c>
      <c r="L37" s="593"/>
      <c r="M37" s="602" t="s">
        <v>110</v>
      </c>
      <c r="N37" s="593"/>
      <c r="O37" s="593" t="s">
        <v>111</v>
      </c>
      <c r="P37" s="593"/>
      <c r="Q37" s="602" t="s">
        <v>110</v>
      </c>
      <c r="R37" s="593"/>
      <c r="S37" s="593" t="s">
        <v>111</v>
      </c>
      <c r="T37" s="593"/>
      <c r="U37" s="602" t="s">
        <v>110</v>
      </c>
      <c r="V37" s="593"/>
      <c r="W37" s="593" t="s">
        <v>111</v>
      </c>
      <c r="X37" s="593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79055.236694361607</v>
      </c>
      <c r="J38" s="136">
        <f>+J6+J13+J14+J15+J24+J28+J29</f>
        <v>0</v>
      </c>
      <c r="L38" s="136">
        <f>+L6+L13+L14+L15</f>
        <v>44332.511783328009</v>
      </c>
      <c r="N38" s="136">
        <f>+N6+N13+N14+N15+N24+N28+N29</f>
        <v>0</v>
      </c>
      <c r="P38" s="136">
        <f>+P6+P13+P14+P15+P24+P28+P29</f>
        <v>31836.239999999998</v>
      </c>
      <c r="R38" s="136">
        <f>+R6+R13+R14+R15+R24+R28+R29</f>
        <v>2886.4849110335999</v>
      </c>
      <c r="T38" s="136">
        <f>+T6+T13+T14+T15</f>
        <v>0</v>
      </c>
      <c r="V38" s="136">
        <f t="shared" ref="V38:V44" si="12">+J38+N38+R38</f>
        <v>2886.4849110335999</v>
      </c>
      <c r="X38" s="136">
        <f t="shared" ref="X38:X44" si="13">+L38+P38+T38</f>
        <v>76168.751783328014</v>
      </c>
      <c r="Z38" s="138">
        <f t="shared" ref="Z38:Z46" si="14">+V38+X38</f>
        <v>79055.236694361607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7005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7005</v>
      </c>
      <c r="S39" s="236"/>
      <c r="T39" s="240">
        <f>+T30+T31</f>
        <v>0</v>
      </c>
      <c r="U39" s="239"/>
      <c r="V39" s="240">
        <f t="shared" si="12"/>
        <v>7005</v>
      </c>
      <c r="W39" s="236"/>
      <c r="X39" s="240">
        <f>+L39+P39+T39</f>
        <v>0</v>
      </c>
      <c r="Y39" s="241"/>
      <c r="Z39" s="242">
        <f>+V39+X39</f>
        <v>7005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103417.23678537602</v>
      </c>
      <c r="J40" s="136">
        <f>+J7+J21+J26+J9+J16+J25</f>
        <v>0</v>
      </c>
      <c r="L40" s="136">
        <f>+L7+L21+L26+L9+L16</f>
        <v>51325.69846521601</v>
      </c>
      <c r="N40" s="136">
        <f>+N7+N21+N26+N9+N16+N25</f>
        <v>0</v>
      </c>
      <c r="P40" s="136">
        <f>+P7+P21+P26+P9+P16+P25</f>
        <v>40736.697616800004</v>
      </c>
      <c r="R40" s="136">
        <f>+R7+R21+R26+R9+R16+R25</f>
        <v>11354.840703360001</v>
      </c>
      <c r="T40" s="136">
        <f>+T7+T21+T26+T9+T16</f>
        <v>0</v>
      </c>
      <c r="V40" s="136">
        <f t="shared" si="12"/>
        <v>11354.840703360001</v>
      </c>
      <c r="X40" s="136">
        <f t="shared" si="13"/>
        <v>92062.396082016014</v>
      </c>
      <c r="Z40" s="138">
        <f t="shared" si="14"/>
        <v>103417.23678537601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92299.881697920006</v>
      </c>
      <c r="J41" s="136">
        <f>+J8+J10+J11+J12+J17-J12</f>
        <v>0</v>
      </c>
      <c r="L41" s="136">
        <f>+L8+L10+L11+L12+L17-L12</f>
        <v>74910.927409919997</v>
      </c>
      <c r="N41" s="136">
        <f>+N8+N10+N11+N12+N17-N12</f>
        <v>0</v>
      </c>
      <c r="P41" s="136">
        <f>+P8+P10+P11+P12+P17-P12</f>
        <v>0</v>
      </c>
      <c r="R41" s="136">
        <f>+R8+R10+R11+R12+R17-R12</f>
        <v>0</v>
      </c>
      <c r="T41" s="136">
        <f>+T8+T10+T11+T12+T17-T12</f>
        <v>17388.954288000001</v>
      </c>
      <c r="V41" s="136">
        <f t="shared" si="12"/>
        <v>0</v>
      </c>
      <c r="X41" s="136">
        <f t="shared" si="13"/>
        <v>92299.881697920006</v>
      </c>
      <c r="Z41" s="138">
        <f t="shared" si="14"/>
        <v>92299.881697920006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14559.773760000004</v>
      </c>
      <c r="I42" s="239"/>
      <c r="J42" s="240">
        <f>+J12</f>
        <v>0</v>
      </c>
      <c r="K42" s="236"/>
      <c r="L42" s="240">
        <f>+L12</f>
        <v>14559.773760000004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0</v>
      </c>
      <c r="W42" s="236"/>
      <c r="X42" s="240">
        <f t="shared" si="13"/>
        <v>14559.773760000004</v>
      </c>
      <c r="Y42" s="241"/>
      <c r="Z42" s="242">
        <f t="shared" si="14"/>
        <v>14559.773760000004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79590.600000000006</v>
      </c>
      <c r="J43" s="136">
        <f>+J19+J22</f>
        <v>0</v>
      </c>
      <c r="L43" s="136">
        <f>+L19+L22</f>
        <v>0</v>
      </c>
      <c r="N43" s="136">
        <f>+N19+N22</f>
        <v>0</v>
      </c>
      <c r="P43" s="136">
        <f>+P19+P22</f>
        <v>79590.600000000006</v>
      </c>
      <c r="R43" s="136">
        <f>+R19+R22</f>
        <v>0</v>
      </c>
      <c r="T43" s="136">
        <f>+T19+T22</f>
        <v>0</v>
      </c>
      <c r="V43" s="136">
        <f t="shared" si="12"/>
        <v>0</v>
      </c>
      <c r="X43" s="136">
        <f t="shared" si="13"/>
        <v>79590.600000000006</v>
      </c>
      <c r="Z43" s="138">
        <f t="shared" si="14"/>
        <v>79590.600000000006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79590.600000000006</v>
      </c>
      <c r="J44" s="136">
        <f>+J20+J23</f>
        <v>0</v>
      </c>
      <c r="L44" s="136">
        <f>+L20+L23</f>
        <v>0</v>
      </c>
      <c r="N44" s="136">
        <f>+N20+N23</f>
        <v>0</v>
      </c>
      <c r="P44" s="136">
        <f>+P20+P23</f>
        <v>79590.600000000006</v>
      </c>
      <c r="R44" s="136">
        <f>+R20+R23</f>
        <v>0</v>
      </c>
      <c r="T44" s="136">
        <f>+T20+T23</f>
        <v>0</v>
      </c>
      <c r="V44" s="136">
        <f t="shared" si="12"/>
        <v>0</v>
      </c>
      <c r="X44" s="136">
        <f t="shared" si="13"/>
        <v>79590.600000000006</v>
      </c>
      <c r="Z44" s="138">
        <f t="shared" si="14"/>
        <v>79590.600000000006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455518.32893765764</v>
      </c>
      <c r="I45" s="163"/>
      <c r="J45" s="164">
        <f>SUM(J38:J44)</f>
        <v>0</v>
      </c>
      <c r="K45" s="152"/>
      <c r="L45" s="168">
        <f>SUM(L38:L44)</f>
        <v>185128.91141846403</v>
      </c>
      <c r="M45" s="163"/>
      <c r="N45" s="164">
        <f>SUM(N38:N44)</f>
        <v>0</v>
      </c>
      <c r="O45" s="152"/>
      <c r="P45" s="168">
        <f>SUM(P38:P44)</f>
        <v>231754.1376168</v>
      </c>
      <c r="Q45" s="163"/>
      <c r="R45" s="164">
        <f>SUM(R38:R44)</f>
        <v>21246.325614393601</v>
      </c>
      <c r="S45" s="152"/>
      <c r="T45" s="168">
        <f>SUM(T38:T44)</f>
        <v>17388.954288000001</v>
      </c>
      <c r="U45" s="163"/>
      <c r="V45" s="164">
        <f>SUM(V38:V44)</f>
        <v>21246.325614393601</v>
      </c>
      <c r="W45" s="152"/>
      <c r="X45" s="164">
        <f>SUM(X38:X44)</f>
        <v>434272.00332326395</v>
      </c>
      <c r="Y45" s="159"/>
      <c r="Z45" s="160">
        <f t="shared" si="14"/>
        <v>455518.32893765753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21246.325614393601</v>
      </c>
      <c r="W46" s="198"/>
      <c r="X46" s="197">
        <f>+L45+P45+T45</f>
        <v>434272.00332326407</v>
      </c>
      <c r="Y46" s="199"/>
      <c r="Z46" s="200">
        <f t="shared" si="14"/>
        <v>455518.32893765764</v>
      </c>
      <c r="AB46" s="244"/>
    </row>
    <row r="47" spans="1:28" x14ac:dyDescent="0.35">
      <c r="H47" s="134"/>
      <c r="I47" s="594" t="s">
        <v>105</v>
      </c>
      <c r="J47" s="595"/>
      <c r="K47" s="595"/>
      <c r="L47" s="595"/>
      <c r="M47" s="596" t="s">
        <v>106</v>
      </c>
      <c r="N47" s="597"/>
      <c r="O47" s="597"/>
      <c r="P47" s="597"/>
      <c r="Q47" s="598" t="s">
        <v>107</v>
      </c>
      <c r="R47" s="599"/>
      <c r="S47" s="599"/>
      <c r="T47" s="599"/>
      <c r="U47" s="600" t="s">
        <v>166</v>
      </c>
      <c r="V47" s="601"/>
      <c r="W47" s="601"/>
      <c r="X47" s="601"/>
      <c r="Y47" s="601"/>
      <c r="Z47" s="601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2" t="s">
        <v>110</v>
      </c>
      <c r="J48" s="593"/>
      <c r="K48" s="593" t="s">
        <v>111</v>
      </c>
      <c r="L48" s="593"/>
      <c r="M48" s="602" t="s">
        <v>110</v>
      </c>
      <c r="N48" s="593"/>
      <c r="O48" s="593" t="s">
        <v>111</v>
      </c>
      <c r="P48" s="593"/>
      <c r="Q48" s="602" t="s">
        <v>110</v>
      </c>
      <c r="R48" s="593"/>
      <c r="S48" s="593" t="s">
        <v>111</v>
      </c>
      <c r="T48" s="593"/>
      <c r="U48" s="602" t="s">
        <v>110</v>
      </c>
      <c r="V48" s="593"/>
      <c r="W48" s="593" t="s">
        <v>111</v>
      </c>
      <c r="X48" s="593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30040.98994385741</v>
      </c>
      <c r="I49" s="123">
        <v>0.3</v>
      </c>
      <c r="J49" s="136">
        <f>+J38*I49</f>
        <v>0</v>
      </c>
      <c r="K49" s="121">
        <f>+E49-I49</f>
        <v>8.0000000000000016E-2</v>
      </c>
      <c r="L49" s="136">
        <f>+J38*K49</f>
        <v>0</v>
      </c>
      <c r="M49" s="123">
        <v>0.3</v>
      </c>
      <c r="N49" s="136">
        <f>+N38*M49</f>
        <v>0</v>
      </c>
      <c r="O49" s="121">
        <f>+E49-M49</f>
        <v>8.0000000000000016E-2</v>
      </c>
      <c r="P49" s="136">
        <f>+N38*O49</f>
        <v>0</v>
      </c>
      <c r="Q49" s="123">
        <v>0.3</v>
      </c>
      <c r="R49" s="136">
        <f>+R38*Q49</f>
        <v>865.94547331007993</v>
      </c>
      <c r="S49" s="121">
        <f>+E49-Q49</f>
        <v>8.0000000000000016E-2</v>
      </c>
      <c r="T49" s="136">
        <f>+R38*S49</f>
        <v>230.91879288268805</v>
      </c>
      <c r="V49" s="136">
        <f>+J49+N49+R49</f>
        <v>865.94547331007993</v>
      </c>
      <c r="X49" s="136">
        <f>+L49+P49+T49</f>
        <v>230.91879288268805</v>
      </c>
      <c r="Z49" s="138">
        <f>+V49+X49</f>
        <v>1096.8642661927679</v>
      </c>
    </row>
    <row r="50" spans="1:28" x14ac:dyDescent="0.35">
      <c r="B50" s="176"/>
      <c r="E50" s="175"/>
      <c r="K50" s="121">
        <f>+E49</f>
        <v>0.38</v>
      </c>
      <c r="L50" s="136">
        <f>+L38*K50</f>
        <v>16846.354477664645</v>
      </c>
      <c r="O50" s="121">
        <f>+E49</f>
        <v>0.38</v>
      </c>
      <c r="P50" s="136">
        <f>+P38*O50</f>
        <v>12097.771199999999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28944.125677664644</v>
      </c>
      <c r="Z50" s="138">
        <f>+V50+X50</f>
        <v>28944.125677664644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30040.98994385741</v>
      </c>
      <c r="I51" s="156"/>
      <c r="J51" s="157">
        <f>SUM(J49:J50)</f>
        <v>0</v>
      </c>
      <c r="K51" s="158"/>
      <c r="L51" s="157">
        <f>SUM(L49:L50)</f>
        <v>16846.354477664645</v>
      </c>
      <c r="M51" s="156"/>
      <c r="N51" s="157">
        <f>SUM(N49:N50)</f>
        <v>0</v>
      </c>
      <c r="O51" s="158"/>
      <c r="P51" s="157">
        <f>SUM(P49:P50)</f>
        <v>12097.771199999999</v>
      </c>
      <c r="Q51" s="156"/>
      <c r="R51" s="157">
        <f>SUM(R49:R50)</f>
        <v>865.94547331007993</v>
      </c>
      <c r="S51" s="158"/>
      <c r="T51" s="157">
        <f>SUM(T49:T50)</f>
        <v>230.91879288268805</v>
      </c>
      <c r="U51" s="156"/>
      <c r="V51" s="157">
        <f>+J51+N51+R51</f>
        <v>865.94547331007993</v>
      </c>
      <c r="W51" s="158"/>
      <c r="X51" s="157">
        <f>+L51+P51+T51</f>
        <v>29175.044470547331</v>
      </c>
      <c r="Y51" s="170"/>
      <c r="Z51" s="171">
        <f>+V51+X51</f>
        <v>30040.98994385741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35161.86050702785</v>
      </c>
      <c r="I53" s="123">
        <v>0.3</v>
      </c>
      <c r="J53" s="136">
        <f>+J40*I53</f>
        <v>0</v>
      </c>
      <c r="K53" s="121">
        <f>+E53-I53</f>
        <v>4.0000000000000036E-2</v>
      </c>
      <c r="L53" s="136">
        <f>+J40*K53</f>
        <v>0</v>
      </c>
      <c r="M53" s="123">
        <v>0.3</v>
      </c>
      <c r="N53" s="136">
        <f>+N40*M53</f>
        <v>0</v>
      </c>
      <c r="O53" s="121">
        <f>+E53-M53</f>
        <v>4.0000000000000036E-2</v>
      </c>
      <c r="P53" s="136">
        <f>+N40*O53</f>
        <v>0</v>
      </c>
      <c r="Q53" s="123">
        <v>0.3</v>
      </c>
      <c r="R53" s="136">
        <f>+R40*Q53</f>
        <v>3406.4522110080002</v>
      </c>
      <c r="S53" s="121">
        <f>+E53-Q53</f>
        <v>4.0000000000000036E-2</v>
      </c>
      <c r="T53" s="136">
        <f>+R40*S53</f>
        <v>454.19362813440046</v>
      </c>
      <c r="V53" s="136">
        <f>+J53+N53+R53</f>
        <v>3406.4522110080002</v>
      </c>
      <c r="X53" s="136">
        <f>+L53+P53+T53</f>
        <v>454.19362813440046</v>
      </c>
      <c r="Z53" s="138">
        <f>+V53+X53</f>
        <v>3860.6458391424007</v>
      </c>
    </row>
    <row r="54" spans="1:28" x14ac:dyDescent="0.35">
      <c r="B54" s="176"/>
      <c r="E54" s="166"/>
      <c r="K54" s="121">
        <f>+E53</f>
        <v>0.34</v>
      </c>
      <c r="L54" s="136">
        <f>+L40*K54</f>
        <v>17450.737478173443</v>
      </c>
      <c r="O54" s="121">
        <f>+E53</f>
        <v>0.34</v>
      </c>
      <c r="P54" s="136">
        <f>+P40*O54</f>
        <v>13850.477189712003</v>
      </c>
      <c r="S54" s="121">
        <f>+E53</f>
        <v>0.34</v>
      </c>
      <c r="T54" s="136">
        <f>+T40*S54</f>
        <v>0</v>
      </c>
      <c r="X54" s="136">
        <f>+L54+P54+T54</f>
        <v>31301.214667885448</v>
      </c>
      <c r="Z54" s="138">
        <f>+V54+X54</f>
        <v>31301.214667885448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35161.86050702785</v>
      </c>
      <c r="I55" s="156"/>
      <c r="J55" s="157">
        <f>SUM(J53:J54)</f>
        <v>0</v>
      </c>
      <c r="K55" s="158"/>
      <c r="L55" s="157">
        <f>SUM(L53:L54)</f>
        <v>17450.737478173443</v>
      </c>
      <c r="M55" s="156"/>
      <c r="N55" s="157">
        <f>SUM(N53:N54)</f>
        <v>0</v>
      </c>
      <c r="O55" s="158"/>
      <c r="P55" s="157">
        <f>SUM(P53:P54)</f>
        <v>13850.477189712003</v>
      </c>
      <c r="Q55" s="156"/>
      <c r="R55" s="157">
        <f>SUM(R53:R54)</f>
        <v>3406.4522110080002</v>
      </c>
      <c r="S55" s="158"/>
      <c r="T55" s="157">
        <f>SUM(T53:T54)</f>
        <v>454.19362813440046</v>
      </c>
      <c r="U55" s="156"/>
      <c r="V55" s="157">
        <f>+J55+N55+R55</f>
        <v>3406.4522110080002</v>
      </c>
      <c r="W55" s="158"/>
      <c r="X55" s="157">
        <f>+L55+P55+T55</f>
        <v>31755.408296019847</v>
      </c>
      <c r="Y55" s="170"/>
      <c r="Z55" s="171">
        <f>+V55+X55</f>
        <v>35161.86050702785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512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18459.976339584002</v>
      </c>
      <c r="I57" s="123">
        <v>0.2</v>
      </c>
      <c r="J57" s="136">
        <f>+J41*I57</f>
        <v>0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0</v>
      </c>
      <c r="S57" s="121">
        <f>+E57-Q57</f>
        <v>0</v>
      </c>
      <c r="T57" s="136">
        <f>+R41*S57</f>
        <v>0</v>
      </c>
      <c r="V57" s="136">
        <f>+J57+N57+R57</f>
        <v>0</v>
      </c>
      <c r="X57" s="136">
        <f>+L57+P57+T57</f>
        <v>0</v>
      </c>
      <c r="Z57" s="138">
        <f>+V57+X57</f>
        <v>0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14982.185481984001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3477.7908576000004</v>
      </c>
      <c r="V58" s="136">
        <f>+J58+N58+R58</f>
        <v>0</v>
      </c>
      <c r="X58" s="136">
        <f>+L58+P58+T58</f>
        <v>18459.976339584002</v>
      </c>
      <c r="Z58" s="138">
        <f>+V58+X58</f>
        <v>18459.976339584002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18459.976339584002</v>
      </c>
      <c r="I59" s="156"/>
      <c r="J59" s="157">
        <f>SUM(J57:J58)</f>
        <v>0</v>
      </c>
      <c r="K59" s="158"/>
      <c r="L59" s="157">
        <f>SUM(L57:L58)</f>
        <v>14982.185481984001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0</v>
      </c>
      <c r="S59" s="158"/>
      <c r="T59" s="157">
        <f>SUM(T57:T58)</f>
        <v>3477.7908576000004</v>
      </c>
      <c r="U59" s="156"/>
      <c r="V59" s="157">
        <f>+J59+N59+R59</f>
        <v>0</v>
      </c>
      <c r="W59" s="158"/>
      <c r="X59" s="157">
        <f>+L59+P59+T59</f>
        <v>18459.976339584002</v>
      </c>
      <c r="Y59" s="170"/>
      <c r="Z59" s="171">
        <f>+V59+X59</f>
        <v>18459.976339584002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23877.18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0</v>
      </c>
      <c r="X61" s="136">
        <f>+L61+P61+T61</f>
        <v>0</v>
      </c>
      <c r="Z61" s="138">
        <f>+V61+X61</f>
        <v>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23877.18</v>
      </c>
      <c r="S62" s="121">
        <f>+E61</f>
        <v>0.3</v>
      </c>
      <c r="V62" s="136">
        <f>+J62+N62+R62</f>
        <v>0</v>
      </c>
      <c r="X62" s="136">
        <f>+L62+P62+T62</f>
        <v>23877.18</v>
      </c>
      <c r="Z62" s="138">
        <f>+V62+X62</f>
        <v>23877.18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23877.18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0</v>
      </c>
      <c r="O63" s="158"/>
      <c r="P63" s="157">
        <f>SUM(P61:P62)</f>
        <v>23877.18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0</v>
      </c>
      <c r="W63" s="158"/>
      <c r="X63" s="157">
        <f>+L63+P63+T63</f>
        <v>23877.18</v>
      </c>
      <c r="Y63" s="170"/>
      <c r="Z63" s="171">
        <f>+V63+X63</f>
        <v>23877.18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23877.18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0</v>
      </c>
      <c r="X65" s="136">
        <f>+L65+P65+T65</f>
        <v>0</v>
      </c>
      <c r="Z65" s="138">
        <f>+V65+X65</f>
        <v>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23877.18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23877.18</v>
      </c>
      <c r="Z66" s="138">
        <f>+V66+X66</f>
        <v>23877.18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23877.18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0</v>
      </c>
      <c r="O67" s="158"/>
      <c r="P67" s="157">
        <f>SUM(P65:P66)</f>
        <v>23877.18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0</v>
      </c>
      <c r="W67" s="158"/>
      <c r="X67" s="157">
        <f>+L67+P67+T67</f>
        <v>23877.18</v>
      </c>
      <c r="Y67" s="170"/>
      <c r="Z67" s="171">
        <f>+V67+X67</f>
        <v>23877.18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49279.277437822086</v>
      </c>
      <c r="M69" s="259"/>
      <c r="N69" s="260"/>
      <c r="O69" s="261"/>
      <c r="P69" s="262">
        <f>+N70+P70</f>
        <v>73702.608389711997</v>
      </c>
      <c r="Q69" s="259"/>
      <c r="R69" s="260"/>
      <c r="S69" s="261"/>
      <c r="T69" s="262">
        <f>+R70+T70</f>
        <v>8435.3009629351691</v>
      </c>
      <c r="U69" s="259"/>
      <c r="V69" s="260"/>
      <c r="W69" s="261"/>
      <c r="X69" s="260"/>
      <c r="Y69" s="263"/>
      <c r="Z69" s="246">
        <f>+T69+P69+L69</f>
        <v>131417.18679046925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131417.18679046925</v>
      </c>
      <c r="I70" s="129"/>
      <c r="J70" s="137">
        <f>+J51+J55+J59+J63+J67</f>
        <v>0</v>
      </c>
      <c r="K70" s="130"/>
      <c r="L70" s="243">
        <f>+L51+L55+L59+L63+L67</f>
        <v>49279.277437822086</v>
      </c>
      <c r="M70" s="129"/>
      <c r="N70" s="137">
        <f>+N51+N55+N59+N63+N67</f>
        <v>0</v>
      </c>
      <c r="O70" s="130"/>
      <c r="P70" s="243">
        <f>+P51+P55+P59+P63+P67</f>
        <v>73702.608389711997</v>
      </c>
      <c r="Q70" s="129"/>
      <c r="R70" s="137">
        <f>+R51+R55+R59+R63+R67</f>
        <v>4272.3976843180799</v>
      </c>
      <c r="S70" s="130"/>
      <c r="T70" s="243">
        <f>+T51+T55+T59+T63+T67</f>
        <v>4162.9032786170892</v>
      </c>
      <c r="U70" s="129"/>
      <c r="V70" s="137">
        <f>+V67+V63+V59+V55+V51</f>
        <v>4272.3976843180799</v>
      </c>
      <c r="W70" s="137"/>
      <c r="X70" s="137">
        <f>+X67+X63+X59+X55+X51</f>
        <v>127144.78910615118</v>
      </c>
      <c r="Y70" s="137"/>
      <c r="Z70" s="137">
        <f>+Z67+Z63+Z59+Z55+Z51</f>
        <v>131417.18679046928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4272.3976843180799</v>
      </c>
      <c r="W71" s="198"/>
      <c r="X71" s="197">
        <f>+L70+P70+T70</f>
        <v>127144.78910615116</v>
      </c>
      <c r="Y71" s="199"/>
      <c r="Z71" s="200">
        <f>+V71+X71</f>
        <v>131417.18679046925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234408.18885628611</v>
      </c>
      <c r="M72" s="251"/>
      <c r="N72" s="252"/>
      <c r="O72" s="253"/>
      <c r="P72" s="254">
        <f>+N73+P73</f>
        <v>305456.74600651197</v>
      </c>
      <c r="Q72" s="255"/>
      <c r="R72" s="256"/>
      <c r="S72" s="257"/>
      <c r="T72" s="258">
        <f>+R73+T73</f>
        <v>47070.580865328768</v>
      </c>
      <c r="U72" s="259"/>
      <c r="V72" s="260"/>
      <c r="W72" s="261"/>
      <c r="X72" s="260"/>
      <c r="Y72" s="263"/>
      <c r="Z72" s="246">
        <f>+T72+P72+L72</f>
        <v>586935.51572812686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586935.51572812686</v>
      </c>
      <c r="I73" s="184"/>
      <c r="J73" s="183">
        <f>+J70+J45</f>
        <v>0</v>
      </c>
      <c r="K73" s="185"/>
      <c r="L73" s="183">
        <f>+L70+L45</f>
        <v>234408.18885628611</v>
      </c>
      <c r="M73" s="186"/>
      <c r="N73" s="187">
        <f>+N70+N45</f>
        <v>0</v>
      </c>
      <c r="O73" s="188"/>
      <c r="P73" s="187">
        <f>+P70+P45</f>
        <v>305456.74600651197</v>
      </c>
      <c r="Q73" s="189"/>
      <c r="R73" s="190">
        <f>+R70+R45</f>
        <v>25518.72329871168</v>
      </c>
      <c r="S73" s="191"/>
      <c r="T73" s="190">
        <f>+T70+T45</f>
        <v>21551.857566617091</v>
      </c>
      <c r="U73" s="192"/>
      <c r="V73" s="193">
        <f t="shared" ref="V73:V79" si="16">+J73+N73+R73</f>
        <v>25518.72329871168</v>
      </c>
      <c r="W73" s="194"/>
      <c r="X73" s="193">
        <f t="shared" ref="X73:X79" si="17">+L73+P73+T73</f>
        <v>561416.79242941516</v>
      </c>
      <c r="Y73" s="195"/>
      <c r="Z73" s="196">
        <f t="shared" ref="Z73:Z79" si="18">+V73+X73</f>
        <v>586935.51572812686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116101.22663821901</v>
      </c>
      <c r="J74" s="136">
        <f>+J38+J51</f>
        <v>0</v>
      </c>
      <c r="L74" s="136">
        <f>+L38+L51</f>
        <v>61178.866260992654</v>
      </c>
      <c r="N74" s="136">
        <f>+N38+N51</f>
        <v>0</v>
      </c>
      <c r="P74" s="136">
        <f>+P38+P51</f>
        <v>43934.011199999994</v>
      </c>
      <c r="R74" s="136">
        <f>+R38+R39+R51</f>
        <v>10757.430384343679</v>
      </c>
      <c r="T74" s="136">
        <f>+T38+T51</f>
        <v>230.91879288268805</v>
      </c>
      <c r="V74" s="136">
        <f t="shared" si="16"/>
        <v>10757.430384343679</v>
      </c>
      <c r="X74" s="136">
        <f t="shared" si="17"/>
        <v>105343.79625387533</v>
      </c>
      <c r="Z74" s="138">
        <f t="shared" si="18"/>
        <v>116101.22663821901</v>
      </c>
    </row>
    <row r="75" spans="1:27" x14ac:dyDescent="0.35">
      <c r="B75"/>
      <c r="E75" s="121" t="s">
        <v>7</v>
      </c>
      <c r="H75" s="133">
        <f>+H40+H55</f>
        <v>138579.09729240387</v>
      </c>
      <c r="J75" s="136">
        <f>+J40+J55</f>
        <v>0</v>
      </c>
      <c r="L75" s="136">
        <f>+L40+L55</f>
        <v>68776.435943389457</v>
      </c>
      <c r="N75" s="136">
        <f>+N40+N55</f>
        <v>0</v>
      </c>
      <c r="P75" s="136">
        <f>+P40+P55</f>
        <v>54587.174806512005</v>
      </c>
      <c r="R75" s="136">
        <f>+R40+R55</f>
        <v>14761.292914368001</v>
      </c>
      <c r="T75" s="136">
        <f>+T40+T55</f>
        <v>454.19362813440046</v>
      </c>
      <c r="U75" s="349" t="s">
        <v>178</v>
      </c>
      <c r="V75" s="350">
        <f t="shared" si="16"/>
        <v>14761.292914368001</v>
      </c>
      <c r="X75" s="136">
        <f t="shared" si="17"/>
        <v>123817.80437803586</v>
      </c>
      <c r="Z75" s="138">
        <f t="shared" si="18"/>
        <v>138579.09729240387</v>
      </c>
    </row>
    <row r="76" spans="1:27" x14ac:dyDescent="0.35">
      <c r="B76"/>
      <c r="E76" s="121" t="s">
        <v>9</v>
      </c>
      <c r="H76" s="133">
        <f>+H41+H59+H42</f>
        <v>125319.631797504</v>
      </c>
      <c r="J76" s="136">
        <f>+J41+J59+J42</f>
        <v>0</v>
      </c>
      <c r="L76" s="136">
        <f>+L41+L59+L42</f>
        <v>104452.886651904</v>
      </c>
      <c r="N76" s="136">
        <f>+N41+N59+N42</f>
        <v>0</v>
      </c>
      <c r="P76" s="136">
        <f>+P41+P59+P42</f>
        <v>0</v>
      </c>
      <c r="R76" s="136">
        <f>+R41+R59+R42</f>
        <v>0</v>
      </c>
      <c r="T76" s="136">
        <f>+T41+T59+T42</f>
        <v>20866.745145600002</v>
      </c>
      <c r="U76" s="349" t="s">
        <v>178</v>
      </c>
      <c r="V76" s="350">
        <f t="shared" si="16"/>
        <v>0</v>
      </c>
      <c r="X76" s="136">
        <f t="shared" si="17"/>
        <v>125319.631797504</v>
      </c>
      <c r="Z76" s="138">
        <f t="shared" si="18"/>
        <v>125319.631797504</v>
      </c>
    </row>
    <row r="77" spans="1:27" x14ac:dyDescent="0.35">
      <c r="B77"/>
      <c r="E77" s="121" t="s">
        <v>11</v>
      </c>
      <c r="H77" s="133">
        <f>+H43+H63</f>
        <v>103467.78</v>
      </c>
      <c r="J77" s="136">
        <f>+J43+J63</f>
        <v>0</v>
      </c>
      <c r="L77" s="136">
        <f>+L43+L63</f>
        <v>0</v>
      </c>
      <c r="N77" s="136">
        <f>+N43+N63</f>
        <v>0</v>
      </c>
      <c r="P77" s="136">
        <f>+P43+P63</f>
        <v>103467.78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6"/>
        <v>0</v>
      </c>
      <c r="X77" s="136">
        <f t="shared" si="17"/>
        <v>103467.78</v>
      </c>
      <c r="Z77" s="138">
        <f t="shared" si="18"/>
        <v>103467.78</v>
      </c>
    </row>
    <row r="78" spans="1:27" x14ac:dyDescent="0.35">
      <c r="B78"/>
      <c r="E78" s="121" t="s">
        <v>13</v>
      </c>
      <c r="H78" s="133">
        <f>+H44+H67</f>
        <v>103467.78</v>
      </c>
      <c r="J78" s="136">
        <f>+J44+J67</f>
        <v>0</v>
      </c>
      <c r="L78" s="136">
        <f>+L44+L67</f>
        <v>0</v>
      </c>
      <c r="N78" s="136">
        <f>+N44+N67</f>
        <v>0</v>
      </c>
      <c r="P78" s="136">
        <f>+P44+P67</f>
        <v>103467.78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6"/>
        <v>0</v>
      </c>
      <c r="X78" s="136">
        <f t="shared" si="17"/>
        <v>103467.78</v>
      </c>
      <c r="Z78" s="138">
        <f t="shared" si="18"/>
        <v>103467.78</v>
      </c>
    </row>
    <row r="79" spans="1:27" x14ac:dyDescent="0.35">
      <c r="B79" s="351" t="s">
        <v>179</v>
      </c>
      <c r="H79" s="201">
        <f>SUM(H74:H78)</f>
        <v>586935.51572812698</v>
      </c>
      <c r="J79" s="197">
        <f>SUM(J74:J78)</f>
        <v>0</v>
      </c>
      <c r="L79" s="197">
        <f>SUM(L74:L78)</f>
        <v>234408.18885628611</v>
      </c>
      <c r="N79" s="197">
        <f>SUM(N74:N78)</f>
        <v>0</v>
      </c>
      <c r="P79" s="197">
        <f>SUM(P74:P78)</f>
        <v>305456.74600651197</v>
      </c>
      <c r="R79" s="197">
        <f>SUM(R74:R78)</f>
        <v>25518.72329871168</v>
      </c>
      <c r="T79" s="197">
        <f>SUM(T74:T78)</f>
        <v>21551.857566617091</v>
      </c>
      <c r="V79" s="197">
        <f t="shared" si="16"/>
        <v>25518.72329871168</v>
      </c>
      <c r="W79" s="198"/>
      <c r="X79" s="197">
        <f t="shared" si="17"/>
        <v>561416.79242941516</v>
      </c>
      <c r="Y79" s="199"/>
      <c r="Z79" s="200">
        <f t="shared" si="18"/>
        <v>586935.51572812686</v>
      </c>
    </row>
  </sheetData>
  <mergeCells count="37">
    <mergeCell ref="S48:T48"/>
    <mergeCell ref="U48:V48"/>
    <mergeCell ref="W48:X48"/>
    <mergeCell ref="I48:J48"/>
    <mergeCell ref="K48:L48"/>
    <mergeCell ref="M48:N48"/>
    <mergeCell ref="O48:P48"/>
    <mergeCell ref="Q48:R48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E3:H3"/>
    <mergeCell ref="I3:L3"/>
    <mergeCell ref="M3:P3"/>
    <mergeCell ref="Q3:T3"/>
    <mergeCell ref="U3:Z3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79"/>
  <sheetViews>
    <sheetView topLeftCell="A51" workbookViewId="0">
      <selection activeCell="M50" sqref="M50"/>
    </sheetView>
  </sheetViews>
  <sheetFormatPr defaultRowHeight="14.5" x14ac:dyDescent="0.35"/>
  <cols>
    <col min="1" max="1" width="5.7265625" style="143" customWidth="1"/>
    <col min="2" max="2" width="4.54296875" style="143" customWidth="1"/>
    <col min="3" max="3" width="15.1796875" customWidth="1"/>
    <col min="4" max="4" width="20.54296875" customWidth="1"/>
    <col min="5" max="5" width="5.7265625" style="121" customWidth="1"/>
    <col min="6" max="6" width="5.7265625" style="115" customWidth="1"/>
    <col min="7" max="7" width="10.1796875" style="119" customWidth="1"/>
    <col min="8" max="8" width="12" style="133" customWidth="1"/>
    <col min="9" max="9" width="6.453125" style="123" customWidth="1"/>
    <col min="10" max="10" width="10.7265625" style="136" customWidth="1"/>
    <col min="11" max="11" width="5.81640625" style="121" customWidth="1"/>
    <col min="12" max="12" width="11" style="136" customWidth="1"/>
    <col min="13" max="13" width="6.453125" style="123" customWidth="1"/>
    <col min="14" max="14" width="11.1796875" style="136" customWidth="1"/>
    <col min="15" max="15" width="5.81640625" style="121" customWidth="1"/>
    <col min="16" max="16" width="11" style="136" customWidth="1"/>
    <col min="17" max="17" width="7" style="123" customWidth="1"/>
    <col min="18" max="18" width="11.1796875" style="136" customWidth="1"/>
    <col min="19" max="19" width="5.81640625" style="121" customWidth="1"/>
    <col min="20" max="20" width="11" style="136" customWidth="1"/>
    <col min="21" max="21" width="7" style="123" customWidth="1"/>
    <col min="22" max="22" width="12.7265625" style="136" customWidth="1"/>
    <col min="23" max="23" width="5.81640625" style="121" customWidth="1"/>
    <col min="24" max="24" width="11" style="136" customWidth="1"/>
    <col min="25" max="25" width="6.54296875" style="120" customWidth="1"/>
    <col min="26" max="26" width="10.1796875" style="138" bestFit="1" customWidth="1"/>
    <col min="27" max="27" width="6.26953125" style="46" customWidth="1"/>
    <col min="28" max="28" width="9.1796875" customWidth="1"/>
    <col min="29" max="29" width="4.54296875" bestFit="1" customWidth="1"/>
  </cols>
  <sheetData>
    <row r="1" spans="1:27" x14ac:dyDescent="0.35">
      <c r="F1" s="305" t="s">
        <v>180</v>
      </c>
      <c r="G1" s="306">
        <v>0.02</v>
      </c>
    </row>
    <row r="2" spans="1:27" x14ac:dyDescent="0.35">
      <c r="A2" s="144" t="s">
        <v>100</v>
      </c>
      <c r="G2" s="100" t="s">
        <v>198</v>
      </c>
    </row>
    <row r="3" spans="1:27" x14ac:dyDescent="0.35">
      <c r="A3" s="144" t="s">
        <v>182</v>
      </c>
      <c r="D3" s="143" t="s">
        <v>199</v>
      </c>
      <c r="E3" s="593" t="s">
        <v>104</v>
      </c>
      <c r="F3" s="593"/>
      <c r="G3" s="593"/>
      <c r="H3" s="593"/>
      <c r="I3" s="594" t="s">
        <v>105</v>
      </c>
      <c r="J3" s="595"/>
      <c r="K3" s="595"/>
      <c r="L3" s="595"/>
      <c r="M3" s="596" t="s">
        <v>106</v>
      </c>
      <c r="N3" s="597"/>
      <c r="O3" s="597"/>
      <c r="P3" s="597"/>
      <c r="Q3" s="598" t="s">
        <v>107</v>
      </c>
      <c r="R3" s="599"/>
      <c r="S3" s="599"/>
      <c r="T3" s="599"/>
      <c r="U3" s="600" t="s">
        <v>108</v>
      </c>
      <c r="V3" s="601"/>
      <c r="W3" s="601"/>
      <c r="X3" s="601"/>
      <c r="Y3" s="601"/>
      <c r="Z3" s="601"/>
    </row>
    <row r="4" spans="1:27" s="4" customFormat="1" x14ac:dyDescent="0.35">
      <c r="A4" s="144"/>
      <c r="B4" s="143"/>
      <c r="E4" s="132"/>
      <c r="F4" s="149"/>
      <c r="G4" s="307" t="s">
        <v>195</v>
      </c>
      <c r="H4" s="134"/>
      <c r="I4" s="602" t="s">
        <v>110</v>
      </c>
      <c r="J4" s="593"/>
      <c r="K4" s="593" t="s">
        <v>111</v>
      </c>
      <c r="L4" s="593"/>
      <c r="M4" s="602" t="s">
        <v>110</v>
      </c>
      <c r="N4" s="593"/>
      <c r="O4" s="593" t="s">
        <v>111</v>
      </c>
      <c r="P4" s="593"/>
      <c r="Q4" s="602" t="s">
        <v>110</v>
      </c>
      <c r="R4" s="593"/>
      <c r="S4" s="593" t="s">
        <v>111</v>
      </c>
      <c r="T4" s="593"/>
      <c r="U4" s="602" t="s">
        <v>110</v>
      </c>
      <c r="V4" s="593"/>
      <c r="W4" s="593" t="s">
        <v>111</v>
      </c>
      <c r="X4" s="593"/>
      <c r="Y4" s="131" t="s">
        <v>112</v>
      </c>
      <c r="Z4" s="139"/>
      <c r="AA4" s="116" t="s">
        <v>113</v>
      </c>
    </row>
    <row r="5" spans="1:27" s="117" customFormat="1" x14ac:dyDescent="0.35">
      <c r="A5" s="145" t="s">
        <v>114</v>
      </c>
      <c r="B5" s="146" t="s">
        <v>115</v>
      </c>
      <c r="C5" s="117" t="s">
        <v>116</v>
      </c>
      <c r="D5" s="117" t="s">
        <v>117</v>
      </c>
      <c r="E5" s="130" t="s">
        <v>118</v>
      </c>
      <c r="F5" s="150" t="s">
        <v>119</v>
      </c>
      <c r="G5" s="127" t="s">
        <v>120</v>
      </c>
      <c r="H5" s="135" t="s">
        <v>121</v>
      </c>
      <c r="I5" s="129" t="s">
        <v>118</v>
      </c>
      <c r="J5" s="137" t="s">
        <v>122</v>
      </c>
      <c r="K5" s="130" t="s">
        <v>118</v>
      </c>
      <c r="L5" s="137" t="s">
        <v>122</v>
      </c>
      <c r="M5" s="129" t="s">
        <v>118</v>
      </c>
      <c r="N5" s="137" t="s">
        <v>122</v>
      </c>
      <c r="O5" s="130" t="s">
        <v>118</v>
      </c>
      <c r="P5" s="137" t="s">
        <v>122</v>
      </c>
      <c r="Q5" s="129" t="s">
        <v>118</v>
      </c>
      <c r="R5" s="137" t="s">
        <v>122</v>
      </c>
      <c r="S5" s="130" t="s">
        <v>118</v>
      </c>
      <c r="T5" s="137" t="s">
        <v>122</v>
      </c>
      <c r="U5" s="129" t="s">
        <v>118</v>
      </c>
      <c r="V5" s="137" t="s">
        <v>122</v>
      </c>
      <c r="W5" s="130" t="s">
        <v>118</v>
      </c>
      <c r="X5" s="137" t="s">
        <v>122</v>
      </c>
      <c r="Y5" s="130" t="s">
        <v>118</v>
      </c>
      <c r="Z5" s="137" t="s">
        <v>122</v>
      </c>
      <c r="AA5" s="128" t="s">
        <v>123</v>
      </c>
    </row>
    <row r="6" spans="1:27" ht="18" customHeight="1" x14ac:dyDescent="0.35">
      <c r="A6" s="143" t="s">
        <v>1</v>
      </c>
      <c r="B6" s="143" t="s">
        <v>16</v>
      </c>
      <c r="C6" t="s">
        <v>124</v>
      </c>
      <c r="D6" t="s">
        <v>125</v>
      </c>
      <c r="E6" s="141">
        <v>0.2</v>
      </c>
      <c r="F6" s="115">
        <v>12</v>
      </c>
      <c r="G6" s="119">
        <f>+'STAFFING WORKSHEET-YR04'!G6*1.02</f>
        <v>6814.2784741344012</v>
      </c>
      <c r="H6" s="133">
        <f>+E6*F6*G6</f>
        <v>16354.268337922565</v>
      </c>
      <c r="I6" s="142">
        <v>0</v>
      </c>
      <c r="J6" s="136">
        <f>+I6/E6*H6</f>
        <v>0</v>
      </c>
      <c r="K6" s="141">
        <v>0.2</v>
      </c>
      <c r="L6" s="136">
        <f>+K6/E6*H6</f>
        <v>16354.268337922565</v>
      </c>
      <c r="U6" s="123">
        <f>+I6+M6+Q6</f>
        <v>0</v>
      </c>
      <c r="V6" s="136">
        <f>+J6+N6+R6</f>
        <v>0</v>
      </c>
      <c r="W6" s="121">
        <f>+K6+O6+S6</f>
        <v>0.2</v>
      </c>
      <c r="X6" s="136">
        <f>+L6+P6+T6</f>
        <v>16354.268337922565</v>
      </c>
      <c r="Y6" s="120">
        <f>+U6+W6</f>
        <v>0.2</v>
      </c>
      <c r="Z6" s="138">
        <f>+V6+X6</f>
        <v>16354.268337922565</v>
      </c>
      <c r="AA6" s="46" t="str">
        <f>IF(H6=Z6,"TRUE","FALSE")</f>
        <v>TRUE</v>
      </c>
    </row>
    <row r="7" spans="1:27" ht="18" customHeight="1" x14ac:dyDescent="0.35">
      <c r="A7" s="143" t="s">
        <v>7</v>
      </c>
      <c r="B7" s="143" t="s">
        <v>16</v>
      </c>
      <c r="C7" t="s">
        <v>126</v>
      </c>
      <c r="D7" t="s">
        <v>127</v>
      </c>
      <c r="E7" s="141">
        <v>0.2</v>
      </c>
      <c r="F7" s="115">
        <v>12</v>
      </c>
      <c r="G7" s="119">
        <f>+'STAFFING WORKSHEET-YR04'!G7*1.02</f>
        <v>7335.9999509328009</v>
      </c>
      <c r="H7" s="133">
        <f t="shared" ref="H7:H29" si="0">+E7*F7*G7</f>
        <v>17606.399882238726</v>
      </c>
      <c r="I7" s="142">
        <v>0</v>
      </c>
      <c r="J7" s="136">
        <f t="shared" ref="J7:J13" si="1">+I7/E7*H7</f>
        <v>0</v>
      </c>
      <c r="K7" s="141">
        <v>0.2</v>
      </c>
      <c r="L7" s="136">
        <f t="shared" ref="L7:L13" si="2">+K7/E7*H7</f>
        <v>17606.399882238726</v>
      </c>
      <c r="U7" s="123">
        <f t="shared" ref="U7:X17" si="3">+I7+M7+Q7</f>
        <v>0</v>
      </c>
      <c r="V7" s="136">
        <f t="shared" si="3"/>
        <v>0</v>
      </c>
      <c r="W7" s="121">
        <f t="shared" si="3"/>
        <v>0.2</v>
      </c>
      <c r="X7" s="136">
        <f t="shared" si="3"/>
        <v>17606.399882238726</v>
      </c>
      <c r="Y7" s="120">
        <f t="shared" ref="Y7:Z17" si="4">+U7+W7</f>
        <v>0.2</v>
      </c>
      <c r="Z7" s="138">
        <f t="shared" si="4"/>
        <v>17606.399882238726</v>
      </c>
      <c r="AA7" s="46" t="str">
        <f t="shared" ref="AA7:AA17" si="5">IF(H7=Z7,"TRUE","FALSE")</f>
        <v>TRUE</v>
      </c>
    </row>
    <row r="8" spans="1:27" ht="18" customHeight="1" x14ac:dyDescent="0.35">
      <c r="A8" s="143" t="s">
        <v>9</v>
      </c>
      <c r="B8" s="143" t="s">
        <v>16</v>
      </c>
      <c r="C8" t="s">
        <v>128</v>
      </c>
      <c r="D8" t="s">
        <v>127</v>
      </c>
      <c r="E8" s="141">
        <v>0.1</v>
      </c>
      <c r="F8" s="115">
        <v>12</v>
      </c>
      <c r="G8" s="119">
        <f>+'STAFFING WORKSHEET-YR04'!G8*1.02</f>
        <v>8089.5567477599998</v>
      </c>
      <c r="H8" s="133">
        <f t="shared" si="0"/>
        <v>9707.4680973120012</v>
      </c>
      <c r="I8" s="142">
        <v>0</v>
      </c>
      <c r="J8" s="136">
        <f t="shared" si="1"/>
        <v>0</v>
      </c>
      <c r="K8" s="141">
        <v>0.1</v>
      </c>
      <c r="L8" s="136">
        <f t="shared" si="2"/>
        <v>9707.4680973120012</v>
      </c>
      <c r="U8" s="123">
        <f t="shared" si="3"/>
        <v>0</v>
      </c>
      <c r="V8" s="136">
        <f t="shared" si="3"/>
        <v>0</v>
      </c>
      <c r="W8" s="121">
        <f t="shared" si="3"/>
        <v>0.1</v>
      </c>
      <c r="X8" s="136">
        <f t="shared" si="3"/>
        <v>9707.4680973120012</v>
      </c>
      <c r="Y8" s="120">
        <f t="shared" si="4"/>
        <v>0.1</v>
      </c>
      <c r="Z8" s="138">
        <f t="shared" si="4"/>
        <v>9707.4680973120012</v>
      </c>
      <c r="AA8" s="46" t="str">
        <f t="shared" si="5"/>
        <v>TRUE</v>
      </c>
    </row>
    <row r="9" spans="1:27" ht="18" customHeight="1" x14ac:dyDescent="0.35">
      <c r="A9" s="143" t="s">
        <v>7</v>
      </c>
      <c r="B9" s="143" t="s">
        <v>18</v>
      </c>
      <c r="C9" t="s">
        <v>129</v>
      </c>
      <c r="D9" t="s">
        <v>130</v>
      </c>
      <c r="E9" s="121">
        <v>1</v>
      </c>
      <c r="F9" s="115">
        <v>12</v>
      </c>
      <c r="G9" s="119">
        <f>+'STAFFING WORKSHEET-YR04'!G9*1.02</f>
        <v>3860.6458391424003</v>
      </c>
      <c r="H9" s="133">
        <f t="shared" si="0"/>
        <v>46327.750069708803</v>
      </c>
      <c r="I9" s="142">
        <v>0</v>
      </c>
      <c r="J9" s="136">
        <f t="shared" si="1"/>
        <v>0</v>
      </c>
      <c r="K9" s="141">
        <v>0.75</v>
      </c>
      <c r="L9" s="136">
        <f t="shared" si="2"/>
        <v>34745.812552281604</v>
      </c>
      <c r="Q9" s="142">
        <v>0.15</v>
      </c>
      <c r="R9" s="136">
        <f>+Q9/E9*H9</f>
        <v>6949.16251045632</v>
      </c>
      <c r="S9" s="141">
        <v>0.1</v>
      </c>
      <c r="T9" s="136">
        <f>+S9/E9*H9</f>
        <v>4632.7750069708809</v>
      </c>
      <c r="U9" s="123">
        <f t="shared" si="3"/>
        <v>0.15</v>
      </c>
      <c r="V9" s="136">
        <f t="shared" si="3"/>
        <v>6949.16251045632</v>
      </c>
      <c r="W9" s="121">
        <f t="shared" si="3"/>
        <v>0.85</v>
      </c>
      <c r="X9" s="136">
        <f t="shared" si="3"/>
        <v>39378.587559252483</v>
      </c>
      <c r="Y9" s="120">
        <f t="shared" si="4"/>
        <v>1</v>
      </c>
      <c r="Z9" s="138">
        <f t="shared" si="4"/>
        <v>46327.750069708803</v>
      </c>
      <c r="AA9" s="46" t="str">
        <f t="shared" si="5"/>
        <v>TRUE</v>
      </c>
    </row>
    <row r="10" spans="1:27" ht="18" customHeight="1" x14ac:dyDescent="0.35">
      <c r="A10" s="143" t="s">
        <v>9</v>
      </c>
      <c r="B10" s="143" t="s">
        <v>20</v>
      </c>
      <c r="C10" t="s">
        <v>131</v>
      </c>
      <c r="D10" t="s">
        <v>132</v>
      </c>
      <c r="E10" s="121">
        <v>1</v>
      </c>
      <c r="F10" s="115">
        <v>12</v>
      </c>
      <c r="G10" s="119">
        <f>+'STAFFING WORKSHEET-YR04'!G10*1.02</f>
        <v>4080.4120405872004</v>
      </c>
      <c r="H10" s="133">
        <f t="shared" si="0"/>
        <v>48964.944487046407</v>
      </c>
      <c r="I10" s="142">
        <v>0</v>
      </c>
      <c r="J10" s="136">
        <f t="shared" si="1"/>
        <v>0</v>
      </c>
      <c r="K10" s="141">
        <v>1</v>
      </c>
      <c r="L10" s="136">
        <f t="shared" si="2"/>
        <v>48964.944487046407</v>
      </c>
      <c r="M10" s="123">
        <v>0</v>
      </c>
      <c r="N10" s="136">
        <f t="shared" ref="N10:N26" si="6">+M10/E10*H10</f>
        <v>0</v>
      </c>
      <c r="O10" s="121">
        <v>0</v>
      </c>
      <c r="P10" s="136">
        <f t="shared" ref="P10:P26" si="7">+O10/E10*H10</f>
        <v>0</v>
      </c>
      <c r="Q10" s="142"/>
      <c r="S10" s="141"/>
      <c r="U10" s="123">
        <f t="shared" si="3"/>
        <v>0</v>
      </c>
      <c r="V10" s="136">
        <f t="shared" si="3"/>
        <v>0</v>
      </c>
      <c r="W10" s="121">
        <f t="shared" si="3"/>
        <v>1</v>
      </c>
      <c r="X10" s="136">
        <f t="shared" si="3"/>
        <v>48964.944487046407</v>
      </c>
      <c r="Y10" s="120">
        <f t="shared" si="4"/>
        <v>1</v>
      </c>
      <c r="Z10" s="138">
        <f t="shared" si="4"/>
        <v>48964.944487046407</v>
      </c>
      <c r="AA10" s="46" t="str">
        <f t="shared" si="5"/>
        <v>TRUE</v>
      </c>
    </row>
    <row r="11" spans="1:27" ht="18" customHeight="1" x14ac:dyDescent="0.35">
      <c r="A11" s="143" t="s">
        <v>9</v>
      </c>
      <c r="B11" s="143" t="s">
        <v>20</v>
      </c>
      <c r="C11" t="s">
        <v>133</v>
      </c>
      <c r="D11" t="s">
        <v>134</v>
      </c>
      <c r="E11" s="121">
        <v>1</v>
      </c>
      <c r="F11" s="115">
        <v>12</v>
      </c>
      <c r="G11" s="119">
        <f>+'STAFFING WORKSHEET-YR04'!G11*1.02</f>
        <v>2956.12222896</v>
      </c>
      <c r="H11" s="133">
        <f t="shared" si="0"/>
        <v>35473.466747519997</v>
      </c>
      <c r="I11" s="142">
        <v>0</v>
      </c>
      <c r="J11" s="136">
        <f t="shared" si="1"/>
        <v>0</v>
      </c>
      <c r="K11" s="141">
        <v>0.5</v>
      </c>
      <c r="L11" s="136">
        <f t="shared" si="2"/>
        <v>17736.733373759998</v>
      </c>
      <c r="Q11" s="142">
        <v>0</v>
      </c>
      <c r="R11" s="136">
        <f>+Q11/E11*H11</f>
        <v>0</v>
      </c>
      <c r="S11" s="141">
        <v>0.5</v>
      </c>
      <c r="T11" s="136">
        <f>+S11/E11*H11</f>
        <v>17736.733373759998</v>
      </c>
      <c r="U11" s="123">
        <f t="shared" si="3"/>
        <v>0</v>
      </c>
      <c r="V11" s="136">
        <f t="shared" si="3"/>
        <v>0</v>
      </c>
      <c r="W11" s="121">
        <f t="shared" si="3"/>
        <v>1</v>
      </c>
      <c r="X11" s="136">
        <f t="shared" si="3"/>
        <v>35473.466747519997</v>
      </c>
      <c r="Y11" s="120">
        <f t="shared" si="4"/>
        <v>1</v>
      </c>
      <c r="Z11" s="138">
        <f t="shared" si="4"/>
        <v>35473.466747519997</v>
      </c>
      <c r="AA11" s="46" t="str">
        <f t="shared" si="5"/>
        <v>TRUE</v>
      </c>
    </row>
    <row r="12" spans="1:27" s="46" customFormat="1" ht="18" customHeight="1" x14ac:dyDescent="0.35">
      <c r="A12" s="235" t="s">
        <v>9</v>
      </c>
      <c r="B12" s="235" t="s">
        <v>20</v>
      </c>
      <c r="C12" s="46" t="s">
        <v>135</v>
      </c>
      <c r="D12" s="46" t="str">
        <f>+'STAFFING WORKSHEET-YR01 16 MON'!D11</f>
        <v>Social-Emotional Coach</v>
      </c>
      <c r="E12" s="397">
        <v>0.5</v>
      </c>
      <c r="F12" s="115">
        <v>12</v>
      </c>
      <c r="G12" s="340">
        <f>+'STAFFING WORKSHEET-YR04'!G12*1.02</f>
        <v>2475.1615392000003</v>
      </c>
      <c r="H12" s="238">
        <f t="shared" si="0"/>
        <v>14850.969235200002</v>
      </c>
      <c r="I12" s="398">
        <v>0</v>
      </c>
      <c r="J12" s="240">
        <f t="shared" si="1"/>
        <v>0</v>
      </c>
      <c r="K12" s="397">
        <v>0.5</v>
      </c>
      <c r="L12" s="240">
        <f t="shared" si="2"/>
        <v>14850.969235200002</v>
      </c>
      <c r="M12" s="239"/>
      <c r="N12" s="240"/>
      <c r="O12" s="236"/>
      <c r="P12" s="240"/>
      <c r="Q12" s="239"/>
      <c r="R12" s="240"/>
      <c r="S12" s="236"/>
      <c r="T12" s="240"/>
      <c r="U12" s="239">
        <f t="shared" si="3"/>
        <v>0</v>
      </c>
      <c r="V12" s="240">
        <f t="shared" si="3"/>
        <v>0</v>
      </c>
      <c r="W12" s="236">
        <f t="shared" si="3"/>
        <v>0.5</v>
      </c>
      <c r="X12" s="240">
        <f t="shared" si="3"/>
        <v>14850.969235200002</v>
      </c>
      <c r="Y12" s="241">
        <f t="shared" si="4"/>
        <v>0.5</v>
      </c>
      <c r="Z12" s="242">
        <f t="shared" si="4"/>
        <v>14850.969235200002</v>
      </c>
      <c r="AA12" s="46" t="str">
        <f t="shared" si="5"/>
        <v>TRUE</v>
      </c>
    </row>
    <row r="13" spans="1:27" ht="18" customHeight="1" x14ac:dyDescent="0.35">
      <c r="A13" s="143" t="s">
        <v>1</v>
      </c>
      <c r="B13" s="143" t="s">
        <v>20</v>
      </c>
      <c r="C13" t="s">
        <v>137</v>
      </c>
      <c r="D13" t="s">
        <v>138</v>
      </c>
      <c r="E13" s="121">
        <v>0.5</v>
      </c>
      <c r="F13" s="115">
        <v>12</v>
      </c>
      <c r="G13" s="119">
        <f>+'STAFFING WORKSHEET-YR04'!G13*1.02</f>
        <v>4810.8156135120007</v>
      </c>
      <c r="H13" s="133">
        <f t="shared" si="0"/>
        <v>28864.893681072004</v>
      </c>
      <c r="I13" s="142">
        <v>0</v>
      </c>
      <c r="J13" s="136">
        <f t="shared" si="1"/>
        <v>0</v>
      </c>
      <c r="K13" s="141">
        <v>0.5</v>
      </c>
      <c r="L13" s="136">
        <f t="shared" si="2"/>
        <v>28864.893681072004</v>
      </c>
      <c r="U13" s="123">
        <f t="shared" si="3"/>
        <v>0</v>
      </c>
      <c r="V13" s="136">
        <f t="shared" si="3"/>
        <v>0</v>
      </c>
      <c r="W13" s="121">
        <f t="shared" si="3"/>
        <v>0.5</v>
      </c>
      <c r="X13" s="136">
        <f t="shared" si="3"/>
        <v>28864.893681072004</v>
      </c>
      <c r="Y13" s="120">
        <f t="shared" si="4"/>
        <v>0.5</v>
      </c>
      <c r="Z13" s="138">
        <f t="shared" si="4"/>
        <v>28864.893681072004</v>
      </c>
      <c r="AA13" s="46" t="str">
        <f t="shared" si="5"/>
        <v>TRUE</v>
      </c>
    </row>
    <row r="14" spans="1:27" s="387" customFormat="1" ht="18" customHeight="1" x14ac:dyDescent="0.35">
      <c r="A14" s="386" t="s">
        <v>1</v>
      </c>
      <c r="B14" s="386" t="s">
        <v>22</v>
      </c>
      <c r="C14" s="387" t="s">
        <v>139</v>
      </c>
      <c r="D14" s="387" t="s">
        <v>140</v>
      </c>
      <c r="E14" s="391"/>
      <c r="F14" s="317"/>
      <c r="G14" s="385">
        <f>+'STAFFING WORKSHEET-YR04'!G14*1.02</f>
        <v>0</v>
      </c>
      <c r="H14" s="388">
        <f t="shared" si="0"/>
        <v>0</v>
      </c>
      <c r="I14" s="390"/>
      <c r="J14" s="389"/>
      <c r="K14" s="391"/>
      <c r="L14" s="389"/>
      <c r="M14" s="390"/>
      <c r="N14" s="389"/>
      <c r="O14" s="391"/>
      <c r="P14" s="389"/>
      <c r="Q14" s="390"/>
      <c r="R14" s="389"/>
      <c r="S14" s="391"/>
      <c r="T14" s="389"/>
      <c r="U14" s="390">
        <f t="shared" si="3"/>
        <v>0</v>
      </c>
      <c r="V14" s="389">
        <f t="shared" si="3"/>
        <v>0</v>
      </c>
      <c r="W14" s="391">
        <f t="shared" si="3"/>
        <v>0</v>
      </c>
      <c r="X14" s="389">
        <f t="shared" si="3"/>
        <v>0</v>
      </c>
      <c r="Y14" s="392">
        <f t="shared" si="4"/>
        <v>0</v>
      </c>
      <c r="Z14" s="393">
        <f t="shared" si="4"/>
        <v>0</v>
      </c>
      <c r="AA14" s="315" t="str">
        <f t="shared" si="5"/>
        <v>TRUE</v>
      </c>
    </row>
    <row r="15" spans="1:27" ht="18" customHeight="1" x14ac:dyDescent="0.35">
      <c r="A15" s="143" t="s">
        <v>1</v>
      </c>
      <c r="B15" s="143" t="s">
        <v>24</v>
      </c>
      <c r="C15" t="s">
        <v>141</v>
      </c>
      <c r="D15" t="s">
        <v>142</v>
      </c>
      <c r="E15" s="121">
        <v>0</v>
      </c>
      <c r="F15" s="115">
        <v>0</v>
      </c>
      <c r="G15" s="119">
        <f>+'STAFFING WORKSHEET-YR04'!G15*1.02</f>
        <v>2645.0420504976005</v>
      </c>
      <c r="H15" s="133">
        <v>0</v>
      </c>
      <c r="I15" s="123">
        <v>0</v>
      </c>
      <c r="K15" s="121">
        <v>0</v>
      </c>
      <c r="U15" s="123">
        <f t="shared" si="3"/>
        <v>0</v>
      </c>
      <c r="V15" s="136">
        <f t="shared" si="3"/>
        <v>0</v>
      </c>
      <c r="W15" s="121">
        <f t="shared" si="3"/>
        <v>0</v>
      </c>
      <c r="X15" s="136">
        <f t="shared" si="3"/>
        <v>0</v>
      </c>
      <c r="Y15" s="120">
        <f t="shared" si="4"/>
        <v>0</v>
      </c>
      <c r="Z15" s="138">
        <f t="shared" si="4"/>
        <v>0</v>
      </c>
      <c r="AA15" s="46" t="str">
        <f t="shared" si="5"/>
        <v>TRUE</v>
      </c>
    </row>
    <row r="16" spans="1:27" ht="18" customHeight="1" x14ac:dyDescent="0.35">
      <c r="A16" s="143" t="s">
        <v>7</v>
      </c>
      <c r="B16" s="143" t="s">
        <v>24</v>
      </c>
      <c r="C16" t="s">
        <v>143</v>
      </c>
      <c r="D16" t="s">
        <v>142</v>
      </c>
      <c r="E16" s="121">
        <v>0</v>
      </c>
      <c r="F16" s="115">
        <v>0</v>
      </c>
      <c r="G16" s="119">
        <f>+'STAFFING WORKSHEET-YR04'!G16*1.02</f>
        <v>1804.0680324288001</v>
      </c>
      <c r="H16" s="133">
        <v>0</v>
      </c>
      <c r="I16" s="123">
        <v>0</v>
      </c>
      <c r="K16" s="121">
        <v>0</v>
      </c>
      <c r="U16" s="123">
        <f t="shared" si="3"/>
        <v>0</v>
      </c>
      <c r="V16" s="136">
        <f t="shared" si="3"/>
        <v>0</v>
      </c>
      <c r="W16" s="121">
        <f t="shared" si="3"/>
        <v>0</v>
      </c>
      <c r="X16" s="136">
        <f t="shared" si="3"/>
        <v>0</v>
      </c>
      <c r="Y16" s="120">
        <f t="shared" si="4"/>
        <v>0</v>
      </c>
      <c r="Z16" s="138">
        <f t="shared" si="4"/>
        <v>0</v>
      </c>
      <c r="AA16" s="46" t="str">
        <f t="shared" si="5"/>
        <v>TRUE</v>
      </c>
    </row>
    <row r="17" spans="1:27" s="315" customFormat="1" ht="18" hidden="1" customHeight="1" x14ac:dyDescent="0.35">
      <c r="A17" s="314" t="s">
        <v>9</v>
      </c>
      <c r="B17" s="314" t="s">
        <v>24</v>
      </c>
      <c r="C17" s="315" t="s">
        <v>144</v>
      </c>
      <c r="D17" s="315" t="s">
        <v>142</v>
      </c>
      <c r="E17" s="316"/>
      <c r="F17" s="317"/>
      <c r="G17" s="385">
        <f>+'STAFFING WORKSHEET-YR04'!G17*1.02</f>
        <v>0</v>
      </c>
      <c r="H17" s="318">
        <f t="shared" si="0"/>
        <v>0</v>
      </c>
      <c r="I17" s="319"/>
      <c r="J17" s="320"/>
      <c r="K17" s="316"/>
      <c r="L17" s="320"/>
      <c r="M17" s="319"/>
      <c r="N17" s="320"/>
      <c r="O17" s="316"/>
      <c r="P17" s="320"/>
      <c r="Q17" s="319"/>
      <c r="R17" s="320"/>
      <c r="S17" s="316"/>
      <c r="T17" s="320"/>
      <c r="U17" s="319">
        <f t="shared" si="3"/>
        <v>0</v>
      </c>
      <c r="V17" s="320">
        <f t="shared" si="3"/>
        <v>0</v>
      </c>
      <c r="W17" s="316">
        <f t="shared" si="3"/>
        <v>0</v>
      </c>
      <c r="X17" s="320">
        <f t="shared" si="3"/>
        <v>0</v>
      </c>
      <c r="Y17" s="321">
        <f t="shared" si="4"/>
        <v>0</v>
      </c>
      <c r="Z17" s="322">
        <f t="shared" si="4"/>
        <v>0</v>
      </c>
      <c r="AA17" s="315" t="str">
        <f t="shared" si="5"/>
        <v>TRUE</v>
      </c>
    </row>
    <row r="18" spans="1:27" ht="18" customHeight="1" x14ac:dyDescent="0.35"/>
    <row r="19" spans="1:27" ht="18" customHeight="1" x14ac:dyDescent="0.35">
      <c r="A19" s="143" t="s">
        <v>11</v>
      </c>
      <c r="B19" s="143" t="s">
        <v>26</v>
      </c>
      <c r="C19" t="s">
        <v>145</v>
      </c>
      <c r="D19" t="s">
        <v>146</v>
      </c>
      <c r="E19" s="121">
        <v>1</v>
      </c>
      <c r="F19" s="115">
        <v>12</v>
      </c>
      <c r="G19" s="119">
        <f>+'STAFFING WORKSHEET-YR04'!G19*1.02</f>
        <v>4059.1206000000002</v>
      </c>
      <c r="H19" s="133">
        <f t="shared" si="0"/>
        <v>48709.447200000002</v>
      </c>
      <c r="M19" s="142">
        <v>0</v>
      </c>
      <c r="N19" s="136">
        <f t="shared" si="6"/>
        <v>0</v>
      </c>
      <c r="O19" s="141">
        <v>1</v>
      </c>
      <c r="P19" s="136">
        <f t="shared" si="7"/>
        <v>48709.447200000002</v>
      </c>
      <c r="U19" s="123">
        <f t="shared" ref="U19:X31" si="8">+I19+M19+Q19</f>
        <v>0</v>
      </c>
      <c r="V19" s="136">
        <f t="shared" si="8"/>
        <v>0</v>
      </c>
      <c r="W19" s="121">
        <f t="shared" si="8"/>
        <v>1</v>
      </c>
      <c r="X19" s="136">
        <f t="shared" si="8"/>
        <v>48709.447200000002</v>
      </c>
      <c r="Y19" s="120">
        <f t="shared" ref="Y19:Z31" si="9">+U19+W19</f>
        <v>1</v>
      </c>
      <c r="Z19" s="138">
        <f t="shared" si="9"/>
        <v>48709.447200000002</v>
      </c>
      <c r="AA19" s="46" t="str">
        <f t="shared" ref="AA19:AA33" si="10">IF(H19=Z19,"TRUE","FALSE")</f>
        <v>TRUE</v>
      </c>
    </row>
    <row r="20" spans="1:27" ht="18" customHeight="1" x14ac:dyDescent="0.35">
      <c r="A20" s="143" t="s">
        <v>13</v>
      </c>
      <c r="B20" s="143" t="s">
        <v>26</v>
      </c>
      <c r="C20" t="s">
        <v>145</v>
      </c>
      <c r="D20" t="s">
        <v>146</v>
      </c>
      <c r="E20" s="121">
        <v>1</v>
      </c>
      <c r="F20" s="115">
        <v>12</v>
      </c>
      <c r="G20" s="119">
        <f>+'STAFFING WORKSHEET-YR04'!G20*1.02</f>
        <v>4059.1206000000002</v>
      </c>
      <c r="H20" s="133">
        <f t="shared" si="0"/>
        <v>48709.447200000002</v>
      </c>
      <c r="M20" s="142">
        <v>0</v>
      </c>
      <c r="N20" s="136">
        <f t="shared" si="6"/>
        <v>0</v>
      </c>
      <c r="O20" s="141">
        <v>1</v>
      </c>
      <c r="P20" s="136">
        <f t="shared" si="7"/>
        <v>48709.447200000002</v>
      </c>
      <c r="U20" s="123">
        <f t="shared" si="8"/>
        <v>0</v>
      </c>
      <c r="V20" s="136">
        <f t="shared" si="8"/>
        <v>0</v>
      </c>
      <c r="W20" s="121">
        <f t="shared" si="8"/>
        <v>1</v>
      </c>
      <c r="X20" s="136">
        <f t="shared" si="8"/>
        <v>48709.447200000002</v>
      </c>
      <c r="Y20" s="120">
        <f t="shared" si="9"/>
        <v>1</v>
      </c>
      <c r="Z20" s="138">
        <f t="shared" si="9"/>
        <v>48709.447200000002</v>
      </c>
      <c r="AA20" s="46" t="str">
        <f t="shared" si="10"/>
        <v>TRUE</v>
      </c>
    </row>
    <row r="21" spans="1:27" s="114" customFormat="1" ht="18" customHeight="1" x14ac:dyDescent="0.35">
      <c r="A21" s="227" t="s">
        <v>7</v>
      </c>
      <c r="B21" s="227" t="s">
        <v>26</v>
      </c>
      <c r="C21" s="114" t="s">
        <v>185</v>
      </c>
      <c r="D21" s="114" t="s">
        <v>148</v>
      </c>
      <c r="E21" s="228">
        <v>0.25</v>
      </c>
      <c r="F21" s="115">
        <v>12</v>
      </c>
      <c r="G21" s="119">
        <f>+'STAFFING WORKSHEET-YR04'!G21*1.02</f>
        <v>9020.9896214400014</v>
      </c>
      <c r="H21" s="229">
        <f>+E21*F21*G21</f>
        <v>27062.968864320006</v>
      </c>
      <c r="I21" s="230"/>
      <c r="J21" s="231"/>
      <c r="K21" s="228"/>
      <c r="L21" s="231"/>
      <c r="M21" s="341">
        <v>0</v>
      </c>
      <c r="N21" s="231">
        <f>+M21/E21*H21</f>
        <v>0</v>
      </c>
      <c r="O21" s="342">
        <v>0.25</v>
      </c>
      <c r="P21" s="231">
        <f>+O21/E21*H21</f>
        <v>27062.968864320006</v>
      </c>
      <c r="Q21" s="230"/>
      <c r="R21" s="231"/>
      <c r="S21" s="228"/>
      <c r="T21" s="231"/>
      <c r="U21" s="230">
        <f>+I21+M21+Q21</f>
        <v>0</v>
      </c>
      <c r="V21" s="231">
        <f>+J21+N21+R21</f>
        <v>0</v>
      </c>
      <c r="W21" s="228">
        <f>+K21+O21+S21</f>
        <v>0.25</v>
      </c>
      <c r="X21" s="231">
        <f>+L21+P21+T21</f>
        <v>27062.968864320006</v>
      </c>
      <c r="Y21" s="232">
        <f>+U21+W21</f>
        <v>0.25</v>
      </c>
      <c r="Z21" s="233">
        <f>+V21+X21</f>
        <v>27062.968864320006</v>
      </c>
      <c r="AA21" s="114" t="str">
        <f>IF(H21=Z21,"TRUE","FALSE")</f>
        <v>TRUE</v>
      </c>
    </row>
    <row r="22" spans="1:27" ht="18" customHeight="1" x14ac:dyDescent="0.35">
      <c r="A22" s="143" t="s">
        <v>11</v>
      </c>
      <c r="B22" s="143" t="s">
        <v>28</v>
      </c>
      <c r="C22" t="s">
        <v>145</v>
      </c>
      <c r="D22" t="s">
        <v>149</v>
      </c>
      <c r="E22" s="121">
        <v>1</v>
      </c>
      <c r="F22" s="115">
        <v>12</v>
      </c>
      <c r="G22" s="119">
        <f>+'STAFFING WORKSHEET-YR04'!G22*1.02</f>
        <v>2706.0803999999998</v>
      </c>
      <c r="H22" s="133">
        <f t="shared" si="0"/>
        <v>32472.964799999998</v>
      </c>
      <c r="M22" s="142">
        <v>0</v>
      </c>
      <c r="N22" s="136">
        <f t="shared" si="6"/>
        <v>0</v>
      </c>
      <c r="O22" s="141">
        <v>1</v>
      </c>
      <c r="P22" s="136">
        <f t="shared" si="7"/>
        <v>32472.964799999998</v>
      </c>
      <c r="U22" s="123">
        <f t="shared" si="8"/>
        <v>0</v>
      </c>
      <c r="V22" s="136">
        <f t="shared" si="8"/>
        <v>0</v>
      </c>
      <c r="W22" s="121">
        <f t="shared" si="8"/>
        <v>1</v>
      </c>
      <c r="X22" s="136">
        <f t="shared" si="8"/>
        <v>32472.964799999998</v>
      </c>
      <c r="Y22" s="120">
        <f t="shared" si="9"/>
        <v>1</v>
      </c>
      <c r="Z22" s="138">
        <f t="shared" si="9"/>
        <v>32472.964799999998</v>
      </c>
      <c r="AA22" s="46" t="str">
        <f t="shared" si="10"/>
        <v>TRUE</v>
      </c>
    </row>
    <row r="23" spans="1:27" ht="18" customHeight="1" x14ac:dyDescent="0.35">
      <c r="A23" s="143" t="s">
        <v>13</v>
      </c>
      <c r="B23" s="143" t="s">
        <v>28</v>
      </c>
      <c r="C23" t="s">
        <v>145</v>
      </c>
      <c r="D23" t="s">
        <v>149</v>
      </c>
      <c r="E23" s="121">
        <v>1</v>
      </c>
      <c r="F23" s="115">
        <v>12</v>
      </c>
      <c r="G23" s="119">
        <f>+'STAFFING WORKSHEET-YR04'!G23*1.02</f>
        <v>2706.0803999999998</v>
      </c>
      <c r="H23" s="133">
        <f t="shared" si="0"/>
        <v>32472.964799999998</v>
      </c>
      <c r="M23" s="142">
        <v>0</v>
      </c>
      <c r="N23" s="136">
        <f t="shared" si="6"/>
        <v>0</v>
      </c>
      <c r="O23" s="141">
        <v>1</v>
      </c>
      <c r="P23" s="136">
        <f t="shared" si="7"/>
        <v>32472.964799999998</v>
      </c>
      <c r="U23" s="123">
        <f t="shared" si="8"/>
        <v>0</v>
      </c>
      <c r="V23" s="136">
        <f t="shared" si="8"/>
        <v>0</v>
      </c>
      <c r="W23" s="121">
        <f t="shared" si="8"/>
        <v>1</v>
      </c>
      <c r="X23" s="136">
        <f t="shared" si="8"/>
        <v>32472.964799999998</v>
      </c>
      <c r="Y23" s="120">
        <f t="shared" si="9"/>
        <v>1</v>
      </c>
      <c r="Z23" s="138">
        <f t="shared" si="9"/>
        <v>32472.964799999998</v>
      </c>
      <c r="AA23" s="46" t="str">
        <f t="shared" si="10"/>
        <v>TRUE</v>
      </c>
    </row>
    <row r="24" spans="1:27" ht="18" customHeight="1" x14ac:dyDescent="0.35">
      <c r="A24" s="143" t="s">
        <v>1</v>
      </c>
      <c r="B24" s="143" t="s">
        <v>28</v>
      </c>
      <c r="C24" t="s">
        <v>145</v>
      </c>
      <c r="D24" t="s">
        <v>149</v>
      </c>
      <c r="E24" s="121">
        <v>1</v>
      </c>
      <c r="F24" s="115">
        <v>12</v>
      </c>
      <c r="G24" s="119">
        <f>+'STAFFING WORKSHEET-YR04'!G24*1.02</f>
        <v>2706.0803999999998</v>
      </c>
      <c r="H24" s="133">
        <f t="shared" si="0"/>
        <v>32472.964799999998</v>
      </c>
      <c r="M24" s="142">
        <v>0</v>
      </c>
      <c r="N24" s="136">
        <f t="shared" si="6"/>
        <v>0</v>
      </c>
      <c r="O24" s="141">
        <v>1</v>
      </c>
      <c r="P24" s="136">
        <f t="shared" si="7"/>
        <v>32472.964799999998</v>
      </c>
      <c r="U24" s="123">
        <f t="shared" si="8"/>
        <v>0</v>
      </c>
      <c r="V24" s="136">
        <f t="shared" si="8"/>
        <v>0</v>
      </c>
      <c r="W24" s="121">
        <f t="shared" si="8"/>
        <v>1</v>
      </c>
      <c r="X24" s="136">
        <f t="shared" si="8"/>
        <v>32472.964799999998</v>
      </c>
      <c r="Y24" s="120">
        <f t="shared" si="9"/>
        <v>1</v>
      </c>
      <c r="Z24" s="138">
        <f t="shared" si="9"/>
        <v>32472.964799999998</v>
      </c>
      <c r="AA24" s="46" t="str">
        <f t="shared" si="10"/>
        <v>TRUE</v>
      </c>
    </row>
    <row r="25" spans="1:27" ht="18" customHeight="1" x14ac:dyDescent="0.35">
      <c r="A25" s="143" t="s">
        <v>7</v>
      </c>
      <c r="B25" s="143" t="s">
        <v>30</v>
      </c>
      <c r="C25" t="s">
        <v>150</v>
      </c>
      <c r="D25" t="s">
        <v>151</v>
      </c>
      <c r="E25" s="121">
        <v>0.1</v>
      </c>
      <c r="F25" s="115">
        <v>12</v>
      </c>
      <c r="G25" s="119">
        <f>+'STAFFING WORKSHEET-YR04'!G25*1.02</f>
        <v>5308.5179206800003</v>
      </c>
      <c r="H25" s="133">
        <f t="shared" si="0"/>
        <v>6370.2215048160015</v>
      </c>
      <c r="M25" s="142">
        <v>0</v>
      </c>
      <c r="N25" s="136">
        <f t="shared" si="6"/>
        <v>0</v>
      </c>
      <c r="O25" s="141">
        <v>0.1</v>
      </c>
      <c r="P25" s="136">
        <f t="shared" si="7"/>
        <v>6370.2215048160015</v>
      </c>
      <c r="U25" s="123">
        <f t="shared" si="8"/>
        <v>0</v>
      </c>
      <c r="V25" s="136">
        <f t="shared" si="8"/>
        <v>0</v>
      </c>
      <c r="W25" s="121">
        <f t="shared" si="8"/>
        <v>0.1</v>
      </c>
      <c r="X25" s="136">
        <f t="shared" si="8"/>
        <v>6370.2215048160015</v>
      </c>
      <c r="Y25" s="120">
        <f t="shared" si="9"/>
        <v>0.1</v>
      </c>
      <c r="Z25" s="138">
        <f t="shared" si="9"/>
        <v>6370.2215048160015</v>
      </c>
      <c r="AA25" s="46" t="str">
        <f t="shared" si="10"/>
        <v>TRUE</v>
      </c>
    </row>
    <row r="26" spans="1:27" s="114" customFormat="1" ht="18" customHeight="1" x14ac:dyDescent="0.35">
      <c r="A26" s="227" t="s">
        <v>7</v>
      </c>
      <c r="B26" s="227" t="s">
        <v>30</v>
      </c>
      <c r="C26" s="114" t="s">
        <v>152</v>
      </c>
      <c r="D26" s="114" t="s">
        <v>153</v>
      </c>
      <c r="E26" s="228">
        <v>0.25</v>
      </c>
      <c r="F26" s="115">
        <v>12</v>
      </c>
      <c r="G26" s="119">
        <f>+'STAFFING WORKSHEET-YR04'!G26*1.02</f>
        <v>2706.0803999999998</v>
      </c>
      <c r="H26" s="229">
        <f>+E26*F26*G26</f>
        <v>8118.2411999999995</v>
      </c>
      <c r="I26" s="230"/>
      <c r="J26" s="231"/>
      <c r="K26" s="228"/>
      <c r="L26" s="231"/>
      <c r="M26" s="341">
        <v>0</v>
      </c>
      <c r="N26" s="231">
        <f t="shared" si="6"/>
        <v>0</v>
      </c>
      <c r="O26" s="342">
        <v>0.25</v>
      </c>
      <c r="P26" s="231">
        <f t="shared" si="7"/>
        <v>8118.2411999999995</v>
      </c>
      <c r="Q26" s="230"/>
      <c r="R26" s="231"/>
      <c r="S26" s="228"/>
      <c r="T26" s="231"/>
      <c r="U26" s="230">
        <f>+I26+M26+Q26</f>
        <v>0</v>
      </c>
      <c r="V26" s="231">
        <f>+J26+N26+R26</f>
        <v>0</v>
      </c>
      <c r="W26" s="228">
        <f>+K26+O26+S26</f>
        <v>0.25</v>
      </c>
      <c r="X26" s="231">
        <f>+L26+P26+T26</f>
        <v>8118.2411999999995</v>
      </c>
      <c r="Y26" s="232">
        <f>+U26+W26</f>
        <v>0.25</v>
      </c>
      <c r="Z26" s="233">
        <f>+V26+X26</f>
        <v>8118.2411999999995</v>
      </c>
      <c r="AA26" s="114" t="str">
        <f>IF(H26=Z26,"TRUE","FALSE")</f>
        <v>TRUE</v>
      </c>
    </row>
    <row r="27" spans="1:27" ht="15.75" customHeight="1" x14ac:dyDescent="0.35"/>
    <row r="28" spans="1:27" ht="18" customHeight="1" x14ac:dyDescent="0.35">
      <c r="A28" s="143" t="s">
        <v>1</v>
      </c>
      <c r="B28" s="143" t="s">
        <v>32</v>
      </c>
      <c r="C28" t="s">
        <v>154</v>
      </c>
      <c r="D28" t="s">
        <v>155</v>
      </c>
      <c r="E28" s="141">
        <v>0</v>
      </c>
      <c r="F28" s="148">
        <v>0</v>
      </c>
      <c r="G28" s="119">
        <f>+'STAFFING WORKSHEET-YR04'!G28*1.02</f>
        <v>6941.0962260000006</v>
      </c>
      <c r="H28" s="133">
        <f>+E28*F28*G28*0</f>
        <v>0</v>
      </c>
      <c r="Q28" s="142">
        <v>0</v>
      </c>
      <c r="S28" s="121">
        <v>0</v>
      </c>
      <c r="U28" s="123">
        <f t="shared" si="8"/>
        <v>0</v>
      </c>
      <c r="V28" s="136">
        <f t="shared" si="8"/>
        <v>0</v>
      </c>
      <c r="W28" s="121">
        <f t="shared" si="8"/>
        <v>0</v>
      </c>
      <c r="X28" s="136">
        <f t="shared" si="8"/>
        <v>0</v>
      </c>
      <c r="Y28" s="120">
        <f t="shared" si="9"/>
        <v>0</v>
      </c>
      <c r="Z28" s="138">
        <f t="shared" si="9"/>
        <v>0</v>
      </c>
      <c r="AA28" s="46" t="str">
        <f t="shared" si="10"/>
        <v>TRUE</v>
      </c>
    </row>
    <row r="29" spans="1:27" ht="18" customHeight="1" x14ac:dyDescent="0.35">
      <c r="A29" s="143" t="s">
        <v>1</v>
      </c>
      <c r="B29" s="143" t="s">
        <v>32</v>
      </c>
      <c r="C29" t="s">
        <v>156</v>
      </c>
      <c r="D29" t="s">
        <v>157</v>
      </c>
      <c r="E29" s="121">
        <v>0.02</v>
      </c>
      <c r="F29" s="115">
        <v>12</v>
      </c>
      <c r="G29" s="119">
        <f>+'STAFFING WORKSHEET-YR04'!G29*1.02</f>
        <v>12267.560871892802</v>
      </c>
      <c r="H29" s="133">
        <f t="shared" si="0"/>
        <v>2944.2146092542721</v>
      </c>
      <c r="Q29" s="142">
        <v>0.02</v>
      </c>
      <c r="R29" s="136">
        <f>+Q29/E29*H29</f>
        <v>2944.2146092542721</v>
      </c>
      <c r="S29" s="121">
        <v>0</v>
      </c>
      <c r="T29" s="136">
        <f>+S29/E29*H29</f>
        <v>0</v>
      </c>
      <c r="U29" s="123">
        <f t="shared" si="8"/>
        <v>0.02</v>
      </c>
      <c r="V29" s="136">
        <f t="shared" si="8"/>
        <v>2944.2146092542721</v>
      </c>
      <c r="W29" s="121">
        <f t="shared" si="8"/>
        <v>0</v>
      </c>
      <c r="X29" s="136">
        <f t="shared" si="8"/>
        <v>0</v>
      </c>
      <c r="Y29" s="120">
        <f t="shared" si="9"/>
        <v>0.02</v>
      </c>
      <c r="Z29" s="138">
        <f t="shared" si="9"/>
        <v>2944.2146092542721</v>
      </c>
      <c r="AA29" s="46" t="str">
        <f t="shared" si="10"/>
        <v>TRUE</v>
      </c>
    </row>
    <row r="30" spans="1:27" ht="18" customHeight="1" x14ac:dyDescent="0.35">
      <c r="A30" s="143" t="s">
        <v>1</v>
      </c>
      <c r="B30" s="143" t="s">
        <v>34</v>
      </c>
      <c r="C30" t="s">
        <v>158</v>
      </c>
      <c r="D30" t="s">
        <v>159</v>
      </c>
      <c r="E30" s="115">
        <v>0.04</v>
      </c>
      <c r="F30" s="115">
        <v>12</v>
      </c>
      <c r="G30" s="343" t="s">
        <v>200</v>
      </c>
      <c r="H30" s="133">
        <f>(75*44)</f>
        <v>3300</v>
      </c>
      <c r="Q30" s="142">
        <f>+E30</f>
        <v>0.04</v>
      </c>
      <c r="R30" s="136">
        <f>+H30</f>
        <v>3300</v>
      </c>
      <c r="S30" s="121">
        <v>0</v>
      </c>
      <c r="T30" s="136">
        <f>+S30/E30*H30</f>
        <v>0</v>
      </c>
      <c r="U30" s="123">
        <f t="shared" si="8"/>
        <v>0.04</v>
      </c>
      <c r="V30" s="136">
        <f t="shared" si="8"/>
        <v>3300</v>
      </c>
      <c r="W30" s="121">
        <f t="shared" si="8"/>
        <v>0</v>
      </c>
      <c r="X30" s="136">
        <f t="shared" si="8"/>
        <v>0</v>
      </c>
      <c r="Y30" s="120">
        <f t="shared" si="9"/>
        <v>0.04</v>
      </c>
      <c r="Z30" s="138">
        <f t="shared" si="9"/>
        <v>3300</v>
      </c>
      <c r="AA30" s="46" t="str">
        <f t="shared" si="10"/>
        <v>TRUE</v>
      </c>
    </row>
    <row r="31" spans="1:27" ht="18" customHeight="1" x14ac:dyDescent="0.35">
      <c r="A31" s="143" t="s">
        <v>1</v>
      </c>
      <c r="B31" s="143" t="s">
        <v>30</v>
      </c>
      <c r="C31" t="s">
        <v>161</v>
      </c>
      <c r="D31" t="s">
        <v>162</v>
      </c>
      <c r="E31" s="115">
        <v>0.03</v>
      </c>
      <c r="F31" s="115">
        <v>12</v>
      </c>
      <c r="G31" s="343" t="s">
        <v>201</v>
      </c>
      <c r="H31" s="133">
        <f>(60*64)</f>
        <v>3840</v>
      </c>
      <c r="Q31" s="142">
        <f>+E31</f>
        <v>0.03</v>
      </c>
      <c r="R31" s="136">
        <f>+H31</f>
        <v>3840</v>
      </c>
      <c r="S31" s="121">
        <v>0</v>
      </c>
      <c r="T31" s="136">
        <f>+S31/E31*H31</f>
        <v>0</v>
      </c>
      <c r="U31" s="123">
        <f t="shared" si="8"/>
        <v>0.03</v>
      </c>
      <c r="V31" s="136">
        <f t="shared" si="8"/>
        <v>3840</v>
      </c>
      <c r="W31" s="121">
        <f t="shared" si="8"/>
        <v>0</v>
      </c>
      <c r="X31" s="136">
        <f t="shared" si="8"/>
        <v>0</v>
      </c>
      <c r="Y31" s="120">
        <f t="shared" si="9"/>
        <v>0.03</v>
      </c>
      <c r="Z31" s="138">
        <f t="shared" si="9"/>
        <v>3840</v>
      </c>
      <c r="AA31" s="46" t="str">
        <f t="shared" si="10"/>
        <v>TRUE</v>
      </c>
    </row>
    <row r="32" spans="1:27" ht="18" customHeight="1" x14ac:dyDescent="0.35"/>
    <row r="33" spans="1:28" s="4" customFormat="1" x14ac:dyDescent="0.35">
      <c r="A33" s="161" t="s">
        <v>164</v>
      </c>
      <c r="B33" s="161"/>
      <c r="C33" s="162" t="s">
        <v>165</v>
      </c>
      <c r="D33" s="162"/>
      <c r="E33" s="152">
        <f>SUM(E6:E32)</f>
        <v>10.189999999999998</v>
      </c>
      <c r="F33" s="153"/>
      <c r="G33" s="154"/>
      <c r="H33" s="155">
        <f t="shared" ref="H33:T33" si="11">SUM(H6:H32)</f>
        <v>464623.59551641083</v>
      </c>
      <c r="I33" s="163">
        <f t="shared" si="11"/>
        <v>0</v>
      </c>
      <c r="J33" s="164">
        <f t="shared" si="11"/>
        <v>0</v>
      </c>
      <c r="K33" s="152">
        <f t="shared" si="11"/>
        <v>3.75</v>
      </c>
      <c r="L33" s="164">
        <f t="shared" si="11"/>
        <v>188831.48964683333</v>
      </c>
      <c r="M33" s="163">
        <f t="shared" si="11"/>
        <v>0</v>
      </c>
      <c r="N33" s="164">
        <f t="shared" si="11"/>
        <v>0</v>
      </c>
      <c r="O33" s="152">
        <f t="shared" si="11"/>
        <v>5.6</v>
      </c>
      <c r="P33" s="164">
        <f t="shared" si="11"/>
        <v>236389.22036913596</v>
      </c>
      <c r="Q33" s="163">
        <f t="shared" si="11"/>
        <v>0.24</v>
      </c>
      <c r="R33" s="164">
        <f t="shared" si="11"/>
        <v>17033.377119710593</v>
      </c>
      <c r="S33" s="152">
        <f t="shared" si="11"/>
        <v>0.6</v>
      </c>
      <c r="T33" s="164">
        <f t="shared" si="11"/>
        <v>22369.50838073088</v>
      </c>
      <c r="U33" s="163">
        <f>+I33+M33+Q33</f>
        <v>0.24</v>
      </c>
      <c r="V33" s="164">
        <f>+J33+N33+R33</f>
        <v>17033.377119710593</v>
      </c>
      <c r="W33" s="152">
        <f>+K33+O33+S33</f>
        <v>9.9499999999999993</v>
      </c>
      <c r="X33" s="164">
        <f>+L33+P33+T33</f>
        <v>447590.21839670016</v>
      </c>
      <c r="Y33" s="159">
        <f>+U33+W33</f>
        <v>10.19</v>
      </c>
      <c r="Z33" s="160">
        <f>+V33+X33</f>
        <v>464623.59551641077</v>
      </c>
      <c r="AA33" s="165" t="str">
        <f t="shared" si="10"/>
        <v>TRUE</v>
      </c>
    </row>
    <row r="34" spans="1:28" s="4" customFormat="1" x14ac:dyDescent="0.35">
      <c r="A34" s="144"/>
      <c r="B34" s="144"/>
      <c r="E34" s="132"/>
      <c r="F34" s="149"/>
      <c r="G34" s="125"/>
      <c r="H34" s="134"/>
      <c r="I34" s="182"/>
      <c r="J34" s="169"/>
      <c r="K34" s="132"/>
      <c r="L34" s="169"/>
      <c r="M34" s="182"/>
      <c r="N34" s="169"/>
      <c r="O34" s="132"/>
      <c r="P34" s="169"/>
      <c r="Q34" s="182"/>
      <c r="R34" s="169"/>
      <c r="S34" s="132"/>
      <c r="T34" s="169"/>
      <c r="U34" s="182"/>
      <c r="V34" s="169"/>
      <c r="W34" s="132"/>
      <c r="X34" s="169"/>
      <c r="Y34" s="509" t="str">
        <f>IF(Y33=E33,"TRUE","FALSE")</f>
        <v>TRUE</v>
      </c>
      <c r="Z34" s="139"/>
      <c r="AA34" s="116"/>
    </row>
    <row r="35" spans="1:28" s="4" customFormat="1" x14ac:dyDescent="0.35">
      <c r="A35" s="144"/>
      <c r="B35" s="144"/>
      <c r="E35" s="132"/>
      <c r="F35" s="149"/>
      <c r="G35" s="125"/>
      <c r="H35" s="134"/>
      <c r="I35" s="182"/>
      <c r="J35" s="169"/>
      <c r="K35" s="132"/>
      <c r="L35" s="169"/>
      <c r="M35" s="182"/>
      <c r="N35" s="169"/>
      <c r="O35" s="132"/>
      <c r="P35" s="169"/>
      <c r="Q35" s="182"/>
      <c r="R35" s="169"/>
      <c r="S35" s="132"/>
      <c r="T35" s="169"/>
      <c r="U35" s="182"/>
      <c r="V35" s="169"/>
      <c r="W35" s="132"/>
      <c r="X35" s="169"/>
      <c r="Y35" s="131"/>
      <c r="Z35" s="139"/>
      <c r="AA35" s="116"/>
    </row>
    <row r="36" spans="1:28" x14ac:dyDescent="0.35">
      <c r="A36" s="144"/>
      <c r="C36" s="4"/>
      <c r="D36" s="4"/>
      <c r="E36" s="132"/>
      <c r="F36" s="149"/>
      <c r="G36" s="124"/>
      <c r="H36" s="134"/>
      <c r="I36" s="594" t="s">
        <v>105</v>
      </c>
      <c r="J36" s="595"/>
      <c r="K36" s="595"/>
      <c r="L36" s="595"/>
      <c r="M36" s="596" t="s">
        <v>106</v>
      </c>
      <c r="N36" s="597"/>
      <c r="O36" s="597"/>
      <c r="P36" s="597"/>
      <c r="Q36" s="598" t="s">
        <v>107</v>
      </c>
      <c r="R36" s="599"/>
      <c r="S36" s="599"/>
      <c r="T36" s="599"/>
      <c r="U36" s="600" t="s">
        <v>166</v>
      </c>
      <c r="V36" s="601"/>
      <c r="W36" s="601"/>
      <c r="X36" s="601"/>
      <c r="Y36" s="601"/>
      <c r="Z36" s="601"/>
    </row>
    <row r="37" spans="1:28" ht="15.5" x14ac:dyDescent="0.35">
      <c r="A37" s="117"/>
      <c r="B37" s="146"/>
      <c r="C37" s="264" t="s">
        <v>167</v>
      </c>
      <c r="D37" s="117"/>
      <c r="E37" s="130"/>
      <c r="F37" s="130"/>
      <c r="G37" s="127"/>
      <c r="H37" s="135" t="s">
        <v>168</v>
      </c>
      <c r="I37" s="602" t="s">
        <v>110</v>
      </c>
      <c r="J37" s="593"/>
      <c r="K37" s="593" t="s">
        <v>111</v>
      </c>
      <c r="L37" s="593"/>
      <c r="M37" s="602" t="s">
        <v>110</v>
      </c>
      <c r="N37" s="593"/>
      <c r="O37" s="593" t="s">
        <v>111</v>
      </c>
      <c r="P37" s="593"/>
      <c r="Q37" s="602" t="s">
        <v>110</v>
      </c>
      <c r="R37" s="593"/>
      <c r="S37" s="593" t="s">
        <v>111</v>
      </c>
      <c r="T37" s="593"/>
      <c r="U37" s="602" t="s">
        <v>110</v>
      </c>
      <c r="V37" s="593"/>
      <c r="W37" s="593" t="s">
        <v>111</v>
      </c>
      <c r="X37" s="593"/>
      <c r="Y37" s="131" t="s">
        <v>112</v>
      </c>
      <c r="Z37" s="139"/>
    </row>
    <row r="38" spans="1:28" x14ac:dyDescent="0.35">
      <c r="A38" t="s">
        <v>1</v>
      </c>
      <c r="C38" s="178" t="s">
        <v>165</v>
      </c>
      <c r="E38" s="178" t="s">
        <v>1</v>
      </c>
      <c r="H38" s="133">
        <f>+H6+H13+H14+H15+H24+H28+H29</f>
        <v>80636.341428248837</v>
      </c>
      <c r="J38" s="136">
        <f>+J6+J13+J14+J15+J24+J28+J29</f>
        <v>0</v>
      </c>
      <c r="L38" s="136">
        <f>+L6+L13+L14+L15</f>
        <v>45219.162018994568</v>
      </c>
      <c r="N38" s="136">
        <f>+N6+N13+N14+N15+N24+N28+N29</f>
        <v>0</v>
      </c>
      <c r="P38" s="136">
        <f>+P6+P13+P14+P15+P24+P28+P29</f>
        <v>32472.964799999998</v>
      </c>
      <c r="R38" s="136">
        <f>+R6+R13+R14+R15+R24+R28+R29</f>
        <v>2944.2146092542721</v>
      </c>
      <c r="T38" s="136">
        <f>+T6+T13+T14+T15</f>
        <v>0</v>
      </c>
      <c r="V38" s="136">
        <f t="shared" ref="V38:V44" si="12">+J38+N38+R38</f>
        <v>2944.2146092542721</v>
      </c>
      <c r="X38" s="136">
        <f t="shared" ref="X38:X44" si="13">+L38+P38+T38</f>
        <v>77692.126818994569</v>
      </c>
      <c r="Z38" s="138">
        <f t="shared" ref="Z38:Z46" si="14">+V38+X38</f>
        <v>80636.341428248837</v>
      </c>
      <c r="AA38" s="46" t="str">
        <f t="shared" ref="AA38:AA45" si="15">IF(H38=Z38,"TRUE","FALSE")</f>
        <v>TRUE</v>
      </c>
    </row>
    <row r="39" spans="1:28" s="46" customFormat="1" x14ac:dyDescent="0.35">
      <c r="A39" s="46" t="s">
        <v>1</v>
      </c>
      <c r="B39" s="235"/>
      <c r="C39" s="223" t="s">
        <v>165</v>
      </c>
      <c r="E39" s="223" t="s">
        <v>1</v>
      </c>
      <c r="F39" s="339" t="s">
        <v>169</v>
      </c>
      <c r="G39" s="340"/>
      <c r="H39" s="238">
        <f>H30+H31</f>
        <v>7140</v>
      </c>
      <c r="I39" s="239"/>
      <c r="J39" s="240">
        <v>0</v>
      </c>
      <c r="K39" s="236"/>
      <c r="L39" s="240">
        <v>0</v>
      </c>
      <c r="M39" s="239"/>
      <c r="N39" s="240">
        <v>0</v>
      </c>
      <c r="O39" s="236"/>
      <c r="P39" s="240">
        <v>0</v>
      </c>
      <c r="Q39" s="239"/>
      <c r="R39" s="240">
        <f>+R30+R31</f>
        <v>7140</v>
      </c>
      <c r="S39" s="236"/>
      <c r="T39" s="240">
        <f>+T30+T31</f>
        <v>0</v>
      </c>
      <c r="U39" s="239"/>
      <c r="V39" s="240">
        <f t="shared" si="12"/>
        <v>7140</v>
      </c>
      <c r="W39" s="236"/>
      <c r="X39" s="240">
        <f>+L39+P39+T39</f>
        <v>0</v>
      </c>
      <c r="Y39" s="241"/>
      <c r="Z39" s="242">
        <f>+V39+X39</f>
        <v>7140</v>
      </c>
      <c r="AA39" s="46" t="str">
        <f t="shared" si="15"/>
        <v>TRUE</v>
      </c>
    </row>
    <row r="40" spans="1:28" x14ac:dyDescent="0.35">
      <c r="A40" t="s">
        <v>7</v>
      </c>
      <c r="C40" s="178" t="s">
        <v>165</v>
      </c>
      <c r="E40" s="178" t="s">
        <v>7</v>
      </c>
      <c r="H40" s="133">
        <f>+H7+H21+H26+H9+H16+H25</f>
        <v>105485.58152108353</v>
      </c>
      <c r="J40" s="136">
        <f>+J7+J21+J26+J9+J16+J25</f>
        <v>0</v>
      </c>
      <c r="L40" s="136">
        <f>+L7+L21+L26+L9+L16</f>
        <v>52352.212434520334</v>
      </c>
      <c r="N40" s="136">
        <f>+N7+N21+N26+N9+N16+N25</f>
        <v>0</v>
      </c>
      <c r="P40" s="136">
        <f>+P7+P21+P26+P9+P16+P25</f>
        <v>41551.431569136003</v>
      </c>
      <c r="R40" s="136">
        <f>+R7+R21+R26+R9+R16+R25</f>
        <v>6949.16251045632</v>
      </c>
      <c r="T40" s="136">
        <f>+T7+T21+T26+T9+T16</f>
        <v>4632.7750069708809</v>
      </c>
      <c r="V40" s="136">
        <f t="shared" si="12"/>
        <v>6949.16251045632</v>
      </c>
      <c r="X40" s="136">
        <f t="shared" si="13"/>
        <v>98536.419010627229</v>
      </c>
      <c r="Z40" s="138">
        <f t="shared" si="14"/>
        <v>105485.58152108354</v>
      </c>
      <c r="AA40" s="46" t="str">
        <f t="shared" si="15"/>
        <v>TRUE</v>
      </c>
    </row>
    <row r="41" spans="1:28" x14ac:dyDescent="0.35">
      <c r="A41" t="s">
        <v>9</v>
      </c>
      <c r="B41" s="143" t="s">
        <v>170</v>
      </c>
      <c r="C41" s="178" t="s">
        <v>165</v>
      </c>
      <c r="E41" s="178" t="s">
        <v>9</v>
      </c>
      <c r="H41" s="133">
        <f>+H8+H10+H11+H12+H17-H12</f>
        <v>94145.879331878401</v>
      </c>
      <c r="J41" s="136">
        <f>+J8+J10+J11+J12+J17-J12</f>
        <v>0</v>
      </c>
      <c r="L41" s="136">
        <f>+L8+L10+L11+L12+L17-L12</f>
        <v>76409.145958118403</v>
      </c>
      <c r="N41" s="136">
        <f>+N8+N10+N11+N12+N17-N12</f>
        <v>0</v>
      </c>
      <c r="P41" s="136">
        <f>+P8+P10+P11+P12+P17-P12</f>
        <v>0</v>
      </c>
      <c r="R41" s="136">
        <f>+R8+R10+R11+R12+R17-R12</f>
        <v>0</v>
      </c>
      <c r="T41" s="136">
        <f>+T8+T10+T11+T12+T17-T12</f>
        <v>17736.733373759998</v>
      </c>
      <c r="V41" s="136">
        <f t="shared" si="12"/>
        <v>0</v>
      </c>
      <c r="X41" s="136">
        <f t="shared" si="13"/>
        <v>94145.879331878401</v>
      </c>
      <c r="Z41" s="138">
        <f t="shared" si="14"/>
        <v>94145.879331878401</v>
      </c>
      <c r="AA41" s="46" t="str">
        <f t="shared" si="15"/>
        <v>TRUE</v>
      </c>
    </row>
    <row r="42" spans="1:28" s="46" customFormat="1" x14ac:dyDescent="0.35">
      <c r="A42" s="46" t="s">
        <v>9</v>
      </c>
      <c r="B42" s="235"/>
      <c r="C42" s="223" t="s">
        <v>165</v>
      </c>
      <c r="E42" s="223" t="s">
        <v>9</v>
      </c>
      <c r="F42" s="339" t="s">
        <v>169</v>
      </c>
      <c r="G42" s="340"/>
      <c r="H42" s="238">
        <f>+H12</f>
        <v>14850.969235200002</v>
      </c>
      <c r="I42" s="239"/>
      <c r="J42" s="240">
        <f>+J12</f>
        <v>0</v>
      </c>
      <c r="K42" s="236"/>
      <c r="L42" s="240">
        <f>+L12</f>
        <v>14850.969235200002</v>
      </c>
      <c r="M42" s="239"/>
      <c r="N42" s="240">
        <f>+N12</f>
        <v>0</v>
      </c>
      <c r="O42" s="236"/>
      <c r="P42" s="240">
        <f>+P12</f>
        <v>0</v>
      </c>
      <c r="Q42" s="239"/>
      <c r="R42" s="240">
        <f>+R12</f>
        <v>0</v>
      </c>
      <c r="S42" s="236"/>
      <c r="T42" s="240">
        <f>+T12</f>
        <v>0</v>
      </c>
      <c r="U42" s="239"/>
      <c r="V42" s="240">
        <f t="shared" si="12"/>
        <v>0</v>
      </c>
      <c r="W42" s="236"/>
      <c r="X42" s="240">
        <f t="shared" si="13"/>
        <v>14850.969235200002</v>
      </c>
      <c r="Y42" s="241"/>
      <c r="Z42" s="242">
        <f t="shared" si="14"/>
        <v>14850.969235200002</v>
      </c>
      <c r="AA42" s="46" t="str">
        <f t="shared" si="15"/>
        <v>TRUE</v>
      </c>
    </row>
    <row r="43" spans="1:28" x14ac:dyDescent="0.35">
      <c r="A43" t="s">
        <v>11</v>
      </c>
      <c r="B43" s="143" t="s">
        <v>170</v>
      </c>
      <c r="C43" s="178" t="s">
        <v>165</v>
      </c>
      <c r="E43" s="178" t="s">
        <v>11</v>
      </c>
      <c r="H43" s="133">
        <f>+H19+H22</f>
        <v>81182.411999999997</v>
      </c>
      <c r="J43" s="136">
        <f>+J19+J22</f>
        <v>0</v>
      </c>
      <c r="L43" s="136">
        <f>+L19+L22</f>
        <v>0</v>
      </c>
      <c r="N43" s="136">
        <f>+N19+N22</f>
        <v>0</v>
      </c>
      <c r="P43" s="136">
        <f>+P19+P22</f>
        <v>81182.411999999997</v>
      </c>
      <c r="R43" s="136">
        <f>+R19+R22</f>
        <v>0</v>
      </c>
      <c r="T43" s="136">
        <f>+T19+T22</f>
        <v>0</v>
      </c>
      <c r="V43" s="136">
        <f t="shared" si="12"/>
        <v>0</v>
      </c>
      <c r="X43" s="136">
        <f t="shared" si="13"/>
        <v>81182.411999999997</v>
      </c>
      <c r="Z43" s="138">
        <f t="shared" si="14"/>
        <v>81182.411999999997</v>
      </c>
      <c r="AA43" s="46" t="str">
        <f t="shared" si="15"/>
        <v>TRUE</v>
      </c>
    </row>
    <row r="44" spans="1:28" x14ac:dyDescent="0.35">
      <c r="A44" t="s">
        <v>13</v>
      </c>
      <c r="B44" s="143" t="s">
        <v>170</v>
      </c>
      <c r="C44" s="178" t="s">
        <v>165</v>
      </c>
      <c r="E44" s="178" t="s">
        <v>13</v>
      </c>
      <c r="H44" s="133">
        <f>+H20+H23</f>
        <v>81182.411999999997</v>
      </c>
      <c r="J44" s="136">
        <f>+J20+J23</f>
        <v>0</v>
      </c>
      <c r="L44" s="136">
        <f>+L20+L23</f>
        <v>0</v>
      </c>
      <c r="N44" s="136">
        <f>+N20+N23</f>
        <v>0</v>
      </c>
      <c r="P44" s="136">
        <f>+P20+P23</f>
        <v>81182.411999999997</v>
      </c>
      <c r="R44" s="136">
        <f>+R20+R23</f>
        <v>0</v>
      </c>
      <c r="T44" s="136">
        <f>+T20+T23</f>
        <v>0</v>
      </c>
      <c r="V44" s="136">
        <f t="shared" si="12"/>
        <v>0</v>
      </c>
      <c r="X44" s="136">
        <f t="shared" si="13"/>
        <v>81182.411999999997</v>
      </c>
      <c r="Z44" s="138">
        <f t="shared" si="14"/>
        <v>81182.411999999997</v>
      </c>
      <c r="AA44" s="46" t="str">
        <f t="shared" si="15"/>
        <v>TRUE</v>
      </c>
    </row>
    <row r="45" spans="1:28" s="4" customFormat="1" x14ac:dyDescent="0.35">
      <c r="A45" s="161" t="s">
        <v>164</v>
      </c>
      <c r="B45" s="161"/>
      <c r="C45" s="162" t="s">
        <v>165</v>
      </c>
      <c r="D45" s="161"/>
      <c r="E45" s="161"/>
      <c r="F45" s="161"/>
      <c r="G45" s="161"/>
      <c r="H45" s="167">
        <f>SUM(H38:H44)</f>
        <v>464623.59551641083</v>
      </c>
      <c r="I45" s="163"/>
      <c r="J45" s="164">
        <f>SUM(J38:J44)</f>
        <v>0</v>
      </c>
      <c r="K45" s="152"/>
      <c r="L45" s="168">
        <f>SUM(L38:L44)</f>
        <v>188831.4896468333</v>
      </c>
      <c r="M45" s="163"/>
      <c r="N45" s="164">
        <f>SUM(N38:N44)</f>
        <v>0</v>
      </c>
      <c r="O45" s="152"/>
      <c r="P45" s="168">
        <f>SUM(P38:P44)</f>
        <v>236389.22036913602</v>
      </c>
      <c r="Q45" s="163"/>
      <c r="R45" s="164">
        <f>SUM(R38:R44)</f>
        <v>17033.377119710593</v>
      </c>
      <c r="S45" s="152"/>
      <c r="T45" s="168">
        <f>SUM(T38:T44)</f>
        <v>22369.50838073088</v>
      </c>
      <c r="U45" s="163"/>
      <c r="V45" s="164">
        <f>SUM(V38:V44)</f>
        <v>17033.377119710593</v>
      </c>
      <c r="W45" s="152"/>
      <c r="X45" s="164">
        <f>SUM(X38:X44)</f>
        <v>447590.21839670022</v>
      </c>
      <c r="Y45" s="159"/>
      <c r="Z45" s="160">
        <f t="shared" si="14"/>
        <v>464623.59551641083</v>
      </c>
      <c r="AA45" s="116" t="str">
        <f t="shared" si="15"/>
        <v>TRUE</v>
      </c>
    </row>
    <row r="46" spans="1:28" s="4" customFormat="1" ht="15.75" customHeight="1" x14ac:dyDescent="0.35">
      <c r="A46" s="144"/>
      <c r="B46" s="144"/>
      <c r="C46" s="144"/>
      <c r="D46" s="144"/>
      <c r="E46" s="144"/>
      <c r="F46" s="144"/>
      <c r="G46" s="144"/>
      <c r="H46" s="134"/>
      <c r="I46" s="182"/>
      <c r="J46" s="169"/>
      <c r="K46" s="132"/>
      <c r="L46" s="169"/>
      <c r="M46" s="182"/>
      <c r="N46" s="169"/>
      <c r="O46" s="132"/>
      <c r="P46" s="169"/>
      <c r="Q46" s="182"/>
      <c r="R46" s="169"/>
      <c r="S46" s="132"/>
      <c r="T46" s="169"/>
      <c r="U46" s="182"/>
      <c r="V46" s="197">
        <f>+J45+N45+R45</f>
        <v>17033.377119710593</v>
      </c>
      <c r="W46" s="198"/>
      <c r="X46" s="197">
        <f>+L45+P45+T45</f>
        <v>447590.21839670022</v>
      </c>
      <c r="Y46" s="199"/>
      <c r="Z46" s="200">
        <f t="shared" si="14"/>
        <v>464623.59551641083</v>
      </c>
      <c r="AB46" s="244"/>
    </row>
    <row r="47" spans="1:28" x14ac:dyDescent="0.35">
      <c r="H47" s="134"/>
      <c r="I47" s="594" t="s">
        <v>105</v>
      </c>
      <c r="J47" s="595"/>
      <c r="K47" s="595"/>
      <c r="L47" s="595"/>
      <c r="M47" s="596" t="s">
        <v>106</v>
      </c>
      <c r="N47" s="597"/>
      <c r="O47" s="597"/>
      <c r="P47" s="597"/>
      <c r="Q47" s="598" t="s">
        <v>107</v>
      </c>
      <c r="R47" s="599"/>
      <c r="S47" s="599"/>
      <c r="T47" s="599"/>
      <c r="U47" s="600" t="s">
        <v>166</v>
      </c>
      <c r="V47" s="601"/>
      <c r="W47" s="601"/>
      <c r="X47" s="601"/>
      <c r="Y47" s="601"/>
      <c r="Z47" s="601"/>
    </row>
    <row r="48" spans="1:28" ht="15.5" x14ac:dyDescent="0.35">
      <c r="A48" s="146"/>
      <c r="B48" s="146"/>
      <c r="C48" s="264" t="s">
        <v>171</v>
      </c>
      <c r="D48" s="117"/>
      <c r="E48" s="130" t="s">
        <v>172</v>
      </c>
      <c r="F48" s="172"/>
      <c r="G48" s="173"/>
      <c r="H48" s="174" t="s">
        <v>173</v>
      </c>
      <c r="I48" s="602" t="s">
        <v>110</v>
      </c>
      <c r="J48" s="593"/>
      <c r="K48" s="593" t="s">
        <v>111</v>
      </c>
      <c r="L48" s="593"/>
      <c r="M48" s="602" t="s">
        <v>110</v>
      </c>
      <c r="N48" s="593"/>
      <c r="O48" s="593" t="s">
        <v>111</v>
      </c>
      <c r="P48" s="593"/>
      <c r="Q48" s="602" t="s">
        <v>110</v>
      </c>
      <c r="R48" s="593"/>
      <c r="S48" s="593" t="s">
        <v>111</v>
      </c>
      <c r="T48" s="593"/>
      <c r="U48" s="602" t="s">
        <v>110</v>
      </c>
      <c r="V48" s="593"/>
      <c r="W48" s="593" t="s">
        <v>111</v>
      </c>
      <c r="X48" s="593"/>
      <c r="Y48" s="131" t="s">
        <v>112</v>
      </c>
      <c r="Z48" s="139"/>
    </row>
    <row r="49" spans="1:28" x14ac:dyDescent="0.35">
      <c r="A49" s="143" t="s">
        <v>1</v>
      </c>
      <c r="B49" s="176"/>
      <c r="C49" s="4" t="s">
        <v>175</v>
      </c>
      <c r="E49" s="175">
        <v>0.38</v>
      </c>
      <c r="H49" s="133">
        <f>+H38*E49</f>
        <v>30641.80974273456</v>
      </c>
      <c r="I49" s="123">
        <v>0.3</v>
      </c>
      <c r="J49" s="136">
        <f>+J38*I49</f>
        <v>0</v>
      </c>
      <c r="K49" s="121">
        <f>+E49-I49</f>
        <v>8.0000000000000016E-2</v>
      </c>
      <c r="L49" s="136">
        <f>+J38*K49</f>
        <v>0</v>
      </c>
      <c r="M49" s="123">
        <v>0.3</v>
      </c>
      <c r="N49" s="136">
        <f>+N38*M49</f>
        <v>0</v>
      </c>
      <c r="O49" s="121">
        <f>+E49-M49</f>
        <v>8.0000000000000016E-2</v>
      </c>
      <c r="P49" s="136">
        <f>+N38*O49</f>
        <v>0</v>
      </c>
      <c r="Q49" s="123">
        <v>0.3</v>
      </c>
      <c r="R49" s="136">
        <f>+R38*Q49</f>
        <v>883.26438277628165</v>
      </c>
      <c r="S49" s="121">
        <f>+E49-Q49</f>
        <v>8.0000000000000016E-2</v>
      </c>
      <c r="T49" s="136">
        <f>+R38*S49</f>
        <v>235.53716874034183</v>
      </c>
      <c r="V49" s="136">
        <f>+J49+N49+R49</f>
        <v>883.26438277628165</v>
      </c>
      <c r="X49" s="136">
        <f>+L49+P49+T49</f>
        <v>235.53716874034183</v>
      </c>
      <c r="Z49" s="138">
        <f>+V49+X49</f>
        <v>1118.8015515166235</v>
      </c>
    </row>
    <row r="50" spans="1:28" x14ac:dyDescent="0.35">
      <c r="B50" s="176"/>
      <c r="E50" s="175"/>
      <c r="K50" s="121">
        <f>+E49</f>
        <v>0.38</v>
      </c>
      <c r="L50" s="136">
        <f>+L38*K50</f>
        <v>17183.281567217935</v>
      </c>
      <c r="O50" s="121">
        <f>+E49</f>
        <v>0.38</v>
      </c>
      <c r="P50" s="136">
        <f>+P38*O50</f>
        <v>12339.726623999999</v>
      </c>
      <c r="S50" s="121">
        <f>+E49</f>
        <v>0.38</v>
      </c>
      <c r="T50" s="136">
        <f>+T38*S50</f>
        <v>0</v>
      </c>
      <c r="V50" s="136">
        <f>+J50+N50+R50</f>
        <v>0</v>
      </c>
      <c r="X50" s="136">
        <f>+L50+P50+T50</f>
        <v>29523.008191217934</v>
      </c>
      <c r="Z50" s="138">
        <f>+V50+X50</f>
        <v>29523.008191217934</v>
      </c>
    </row>
    <row r="51" spans="1:28" x14ac:dyDescent="0.35">
      <c r="B51"/>
      <c r="C51" s="151" t="s">
        <v>171</v>
      </c>
      <c r="D51" s="151"/>
      <c r="E51" s="180" t="s">
        <v>1</v>
      </c>
      <c r="F51" s="151"/>
      <c r="G51" s="151"/>
      <c r="H51" s="181">
        <f>SUM(H49:H50)</f>
        <v>30641.80974273456</v>
      </c>
      <c r="I51" s="156"/>
      <c r="J51" s="157">
        <f>SUM(J49:J50)</f>
        <v>0</v>
      </c>
      <c r="K51" s="158"/>
      <c r="L51" s="157">
        <f>SUM(L49:L50)</f>
        <v>17183.281567217935</v>
      </c>
      <c r="M51" s="156"/>
      <c r="N51" s="157">
        <f>SUM(N49:N50)</f>
        <v>0</v>
      </c>
      <c r="O51" s="158"/>
      <c r="P51" s="157">
        <f>SUM(P49:P50)</f>
        <v>12339.726623999999</v>
      </c>
      <c r="Q51" s="156"/>
      <c r="R51" s="157">
        <f>SUM(R49:R50)</f>
        <v>883.26438277628165</v>
      </c>
      <c r="S51" s="158"/>
      <c r="T51" s="157">
        <f>SUM(T49:T50)</f>
        <v>235.53716874034183</v>
      </c>
      <c r="U51" s="156"/>
      <c r="V51" s="157">
        <f>+J51+N51+R51</f>
        <v>883.26438277628165</v>
      </c>
      <c r="W51" s="158"/>
      <c r="X51" s="157">
        <f>+L51+P51+T51</f>
        <v>29758.545359958276</v>
      </c>
      <c r="Y51" s="170"/>
      <c r="Z51" s="171">
        <f>+V51+X51</f>
        <v>30641.809742734556</v>
      </c>
      <c r="AA51" s="46" t="str">
        <f>IF(H51=Z51,"TRUE","FALSE")</f>
        <v>TRUE</v>
      </c>
    </row>
    <row r="52" spans="1:28" ht="9" customHeight="1" x14ac:dyDescent="0.35">
      <c r="B52" s="176"/>
      <c r="E52" s="100"/>
      <c r="F52"/>
      <c r="G52"/>
      <c r="H52" s="134"/>
      <c r="AA52" s="116"/>
      <c r="AB52" s="138"/>
    </row>
    <row r="53" spans="1:28" x14ac:dyDescent="0.35">
      <c r="A53" s="143" t="s">
        <v>7</v>
      </c>
      <c r="B53" s="176"/>
      <c r="C53" s="4" t="s">
        <v>175</v>
      </c>
      <c r="E53" s="175">
        <v>0.34</v>
      </c>
      <c r="H53" s="133">
        <f>+H40*E53</f>
        <v>35865.097717168399</v>
      </c>
      <c r="I53" s="123">
        <v>0.3</v>
      </c>
      <c r="J53" s="136">
        <f>+J40*I53</f>
        <v>0</v>
      </c>
      <c r="K53" s="121">
        <f>+E53-I53</f>
        <v>4.0000000000000036E-2</v>
      </c>
      <c r="L53" s="136">
        <f>+J40*K53</f>
        <v>0</v>
      </c>
      <c r="M53" s="123">
        <v>0.3</v>
      </c>
      <c r="N53" s="136">
        <f>+N40*M53</f>
        <v>0</v>
      </c>
      <c r="O53" s="121">
        <f>+E53-M53</f>
        <v>4.0000000000000036E-2</v>
      </c>
      <c r="P53" s="136">
        <f>+N40*O53</f>
        <v>0</v>
      </c>
      <c r="Q53" s="123">
        <v>0.3</v>
      </c>
      <c r="R53" s="136">
        <f>+R40*Q53</f>
        <v>2084.7487531368961</v>
      </c>
      <c r="S53" s="121">
        <f>+E53-Q53</f>
        <v>4.0000000000000036E-2</v>
      </c>
      <c r="T53" s="136">
        <f>+R40*S53</f>
        <v>277.96650041825302</v>
      </c>
      <c r="V53" s="136">
        <f>+J53+N53+R53</f>
        <v>2084.7487531368961</v>
      </c>
      <c r="X53" s="136">
        <f>+L53+P53+T53</f>
        <v>277.96650041825302</v>
      </c>
      <c r="Z53" s="138">
        <f>+V53+X53</f>
        <v>2362.715253555149</v>
      </c>
    </row>
    <row r="54" spans="1:28" x14ac:dyDescent="0.35">
      <c r="B54" s="176"/>
      <c r="E54" s="166"/>
      <c r="K54" s="121">
        <f>+E53</f>
        <v>0.34</v>
      </c>
      <c r="L54" s="136">
        <f>+L40*K54</f>
        <v>17799.752227736913</v>
      </c>
      <c r="O54" s="121">
        <f>+E53</f>
        <v>0.34</v>
      </c>
      <c r="P54" s="136">
        <f>+P40*O54</f>
        <v>14127.486733506243</v>
      </c>
      <c r="S54" s="121">
        <f>+E53</f>
        <v>0.34</v>
      </c>
      <c r="T54" s="136">
        <f>+T40*S54</f>
        <v>1575.1435023700997</v>
      </c>
      <c r="X54" s="136">
        <f>+L54+P54+T54</f>
        <v>33502.382463613256</v>
      </c>
      <c r="Z54" s="138">
        <f>+V54+X54</f>
        <v>33502.382463613256</v>
      </c>
    </row>
    <row r="55" spans="1:28" x14ac:dyDescent="0.35">
      <c r="B55"/>
      <c r="C55" s="151" t="s">
        <v>171</v>
      </c>
      <c r="D55" s="151"/>
      <c r="E55" s="180" t="s">
        <v>7</v>
      </c>
      <c r="F55" s="151"/>
      <c r="G55" s="151"/>
      <c r="H55" s="177">
        <f>SUM(H53:H54)</f>
        <v>35865.097717168399</v>
      </c>
      <c r="I55" s="156"/>
      <c r="J55" s="157">
        <f>SUM(J53:J54)</f>
        <v>0</v>
      </c>
      <c r="K55" s="158"/>
      <c r="L55" s="157">
        <f>SUM(L53:L54)</f>
        <v>17799.752227736913</v>
      </c>
      <c r="M55" s="156"/>
      <c r="N55" s="157">
        <f>SUM(N53:N54)</f>
        <v>0</v>
      </c>
      <c r="O55" s="158"/>
      <c r="P55" s="157">
        <f>SUM(P53:P54)</f>
        <v>14127.486733506243</v>
      </c>
      <c r="Q55" s="156"/>
      <c r="R55" s="157">
        <f>SUM(R53:R54)</f>
        <v>2084.7487531368961</v>
      </c>
      <c r="S55" s="158"/>
      <c r="T55" s="157">
        <f>SUM(T53:T54)</f>
        <v>1853.1100027883526</v>
      </c>
      <c r="U55" s="156"/>
      <c r="V55" s="157">
        <f>+J55+N55+R55</f>
        <v>2084.7487531368961</v>
      </c>
      <c r="W55" s="158"/>
      <c r="X55" s="157">
        <f>+L55+P55+T55</f>
        <v>33780.348964031509</v>
      </c>
      <c r="Y55" s="170"/>
      <c r="Z55" s="171">
        <f>+V55+X55</f>
        <v>35865.097717168406</v>
      </c>
      <c r="AA55" s="46" t="str">
        <f>IF(H55=Z55,"TRUE","FALSE")</f>
        <v>TRUE</v>
      </c>
      <c r="AB55" s="138"/>
    </row>
    <row r="56" spans="1:28" ht="9" customHeight="1" x14ac:dyDescent="0.35">
      <c r="B56" s="176"/>
      <c r="E56" s="166"/>
    </row>
    <row r="57" spans="1:28" x14ac:dyDescent="0.35">
      <c r="A57" s="143" t="s">
        <v>9</v>
      </c>
      <c r="B57" s="176"/>
      <c r="C57" s="4" t="s">
        <v>175</v>
      </c>
      <c r="E57" s="511">
        <v>0.2</v>
      </c>
      <c r="H57" s="133">
        <f>+H41*E57</f>
        <v>18829.175866375681</v>
      </c>
      <c r="I57" s="123">
        <v>0.2</v>
      </c>
      <c r="J57" s="136">
        <f>+J41*I57</f>
        <v>0</v>
      </c>
      <c r="K57" s="121">
        <f>+E57-I57</f>
        <v>0</v>
      </c>
      <c r="L57" s="136">
        <f>+J41*K57</f>
        <v>0</v>
      </c>
      <c r="M57" s="123">
        <v>0.2</v>
      </c>
      <c r="N57" s="136">
        <f>+N41*M57</f>
        <v>0</v>
      </c>
      <c r="O57" s="121">
        <f>+E57-M57</f>
        <v>0</v>
      </c>
      <c r="P57" s="136">
        <f>+N41*O57</f>
        <v>0</v>
      </c>
      <c r="Q57" s="123">
        <v>0.2</v>
      </c>
      <c r="R57" s="136">
        <f>+R41*Q57</f>
        <v>0</v>
      </c>
      <c r="S57" s="121">
        <f>+E57-Q57</f>
        <v>0</v>
      </c>
      <c r="T57" s="136">
        <f>+R41*S57</f>
        <v>0</v>
      </c>
      <c r="V57" s="136">
        <f>+J57+N57+R57</f>
        <v>0</v>
      </c>
      <c r="X57" s="136">
        <f>+L57+P57+T57</f>
        <v>0</v>
      </c>
      <c r="Z57" s="138">
        <f>+V57+X57</f>
        <v>0</v>
      </c>
    </row>
    <row r="58" spans="1:28" x14ac:dyDescent="0.35">
      <c r="B58" s="176"/>
      <c r="C58" s="4"/>
      <c r="E58" s="115"/>
      <c r="K58" s="121">
        <f>+E57</f>
        <v>0.2</v>
      </c>
      <c r="L58" s="136">
        <f>+L41*K58</f>
        <v>15281.829191623681</v>
      </c>
      <c r="O58" s="121">
        <f>+E57</f>
        <v>0.2</v>
      </c>
      <c r="P58" s="136">
        <f>+P41*O58</f>
        <v>0</v>
      </c>
      <c r="S58" s="121">
        <f>+E57</f>
        <v>0.2</v>
      </c>
      <c r="T58" s="136">
        <f>+T41*S58</f>
        <v>3547.3466747519997</v>
      </c>
      <c r="V58" s="136">
        <f>+J58+N58+R58</f>
        <v>0</v>
      </c>
      <c r="X58" s="136">
        <f>+L58+P58+T58</f>
        <v>18829.175866375681</v>
      </c>
      <c r="Z58" s="138">
        <f>+V58+X58</f>
        <v>18829.175866375681</v>
      </c>
    </row>
    <row r="59" spans="1:28" x14ac:dyDescent="0.35">
      <c r="C59" s="151" t="s">
        <v>171</v>
      </c>
      <c r="D59" s="151"/>
      <c r="E59" s="180" t="s">
        <v>9</v>
      </c>
      <c r="F59" s="151"/>
      <c r="G59" s="151"/>
      <c r="H59" s="177">
        <f>SUM(H57:H58)</f>
        <v>18829.175866375681</v>
      </c>
      <c r="I59" s="156"/>
      <c r="J59" s="157">
        <f>SUM(J57:J58)</f>
        <v>0</v>
      </c>
      <c r="K59" s="158"/>
      <c r="L59" s="157">
        <f>SUM(L57:L58)</f>
        <v>15281.829191623681</v>
      </c>
      <c r="M59" s="156"/>
      <c r="N59" s="157">
        <f>SUM(N57:N58)</f>
        <v>0</v>
      </c>
      <c r="O59" s="158"/>
      <c r="P59" s="157">
        <f>SUM(P57:P58)</f>
        <v>0</v>
      </c>
      <c r="Q59" s="156"/>
      <c r="R59" s="157">
        <f>SUM(R57:R58)</f>
        <v>0</v>
      </c>
      <c r="S59" s="158"/>
      <c r="T59" s="157">
        <f>SUM(T57:T58)</f>
        <v>3547.3466747519997</v>
      </c>
      <c r="U59" s="156"/>
      <c r="V59" s="157">
        <f>+J59+N59+R59</f>
        <v>0</v>
      </c>
      <c r="W59" s="158"/>
      <c r="X59" s="157">
        <f>+L59+P59+T59</f>
        <v>18829.175866375681</v>
      </c>
      <c r="Y59" s="170"/>
      <c r="Z59" s="171">
        <f>+V59+X59</f>
        <v>18829.175866375681</v>
      </c>
      <c r="AA59" s="46" t="str">
        <f>IF(H59=Z59,"TRUE","FALSE")</f>
        <v>TRUE</v>
      </c>
    </row>
    <row r="60" spans="1:28" ht="9" customHeight="1" x14ac:dyDescent="0.35">
      <c r="B60" s="176"/>
      <c r="C60" s="4"/>
      <c r="E60" s="115"/>
    </row>
    <row r="61" spans="1:28" x14ac:dyDescent="0.35">
      <c r="A61" s="143" t="s">
        <v>11</v>
      </c>
      <c r="B61" s="176"/>
      <c r="C61" s="4" t="s">
        <v>175</v>
      </c>
      <c r="E61" s="511">
        <v>0.3</v>
      </c>
      <c r="H61" s="133">
        <f>+H43*E61</f>
        <v>24354.723599999998</v>
      </c>
      <c r="I61" s="123">
        <v>0.3</v>
      </c>
      <c r="J61" s="136">
        <f>+J43*I61</f>
        <v>0</v>
      </c>
      <c r="K61" s="121">
        <f>+E61-I61</f>
        <v>0</v>
      </c>
      <c r="L61" s="136">
        <f>+J43*K61</f>
        <v>0</v>
      </c>
      <c r="M61" s="123">
        <v>0.3</v>
      </c>
      <c r="N61" s="136">
        <f>+N43*M61</f>
        <v>0</v>
      </c>
      <c r="O61" s="121">
        <f>+E61-M61</f>
        <v>0</v>
      </c>
      <c r="P61" s="136">
        <f>+N43*O61</f>
        <v>0</v>
      </c>
      <c r="Q61" s="123">
        <v>0.3</v>
      </c>
      <c r="R61" s="136">
        <f>+R43*Q61</f>
        <v>0</v>
      </c>
      <c r="S61" s="121">
        <f>+E61-Q61</f>
        <v>0</v>
      </c>
      <c r="T61" s="136">
        <f>+R43*S61</f>
        <v>0</v>
      </c>
      <c r="V61" s="136">
        <f>+J61+N61+R61</f>
        <v>0</v>
      </c>
      <c r="X61" s="136">
        <f>+L61+P61+T61</f>
        <v>0</v>
      </c>
      <c r="Z61" s="138">
        <f>+V61+X61</f>
        <v>0</v>
      </c>
    </row>
    <row r="62" spans="1:28" x14ac:dyDescent="0.35">
      <c r="B62" s="176"/>
      <c r="C62" s="4"/>
      <c r="E62" s="115"/>
      <c r="K62" s="121">
        <f>+E61</f>
        <v>0.3</v>
      </c>
      <c r="L62" s="136">
        <f>+L43*K62</f>
        <v>0</v>
      </c>
      <c r="O62" s="121">
        <f>+E61</f>
        <v>0.3</v>
      </c>
      <c r="P62" s="136">
        <f>+P43*O62</f>
        <v>24354.723599999998</v>
      </c>
      <c r="S62" s="121">
        <f>+E61</f>
        <v>0.3</v>
      </c>
      <c r="V62" s="136">
        <f>+J62+N62+R62</f>
        <v>0</v>
      </c>
      <c r="X62" s="136">
        <f>+L62+P62+T62</f>
        <v>24354.723599999998</v>
      </c>
      <c r="Z62" s="138">
        <f>+V62+X62</f>
        <v>24354.723599999998</v>
      </c>
    </row>
    <row r="63" spans="1:28" x14ac:dyDescent="0.35">
      <c r="C63" s="151" t="s">
        <v>171</v>
      </c>
      <c r="D63" s="151"/>
      <c r="E63" s="180" t="s">
        <v>11</v>
      </c>
      <c r="F63" s="151"/>
      <c r="G63" s="151"/>
      <c r="H63" s="177">
        <f>SUM(H61:H62)</f>
        <v>24354.723599999998</v>
      </c>
      <c r="I63" s="156"/>
      <c r="J63" s="157">
        <f>SUM(J61:J62)</f>
        <v>0</v>
      </c>
      <c r="K63" s="158"/>
      <c r="L63" s="157">
        <f>SUM(L61:L62)</f>
        <v>0</v>
      </c>
      <c r="M63" s="156"/>
      <c r="N63" s="157">
        <f>SUM(N61:N62)</f>
        <v>0</v>
      </c>
      <c r="O63" s="158"/>
      <c r="P63" s="157">
        <f>SUM(P61:P62)</f>
        <v>24354.723599999998</v>
      </c>
      <c r="Q63" s="156"/>
      <c r="R63" s="157">
        <f>SUM(R61:R62)</f>
        <v>0</v>
      </c>
      <c r="S63" s="158"/>
      <c r="T63" s="157">
        <f>SUM(T61:T62)</f>
        <v>0</v>
      </c>
      <c r="U63" s="156"/>
      <c r="V63" s="157">
        <f>+J63+N63+R63</f>
        <v>0</v>
      </c>
      <c r="W63" s="158"/>
      <c r="X63" s="157">
        <f>+L63+P63+T63</f>
        <v>24354.723599999998</v>
      </c>
      <c r="Y63" s="170"/>
      <c r="Z63" s="171">
        <f>+V63+X63</f>
        <v>24354.723599999998</v>
      </c>
      <c r="AA63" s="46" t="str">
        <f>IF(H63=Z63,"TRUE","FALSE")</f>
        <v>TRUE</v>
      </c>
    </row>
    <row r="64" spans="1:28" ht="9" customHeight="1" x14ac:dyDescent="0.35">
      <c r="B64" s="176"/>
      <c r="C64" s="4"/>
      <c r="E64" s="115"/>
    </row>
    <row r="65" spans="1:27" x14ac:dyDescent="0.35">
      <c r="A65" s="143" t="s">
        <v>13</v>
      </c>
      <c r="B65" s="176"/>
      <c r="C65" s="4" t="s">
        <v>175</v>
      </c>
      <c r="E65" s="511">
        <v>0.3</v>
      </c>
      <c r="H65" s="133">
        <f>+H44*E65</f>
        <v>24354.723599999998</v>
      </c>
      <c r="I65" s="123">
        <v>0.3</v>
      </c>
      <c r="J65" s="136">
        <f>+J44*I65</f>
        <v>0</v>
      </c>
      <c r="K65" s="121">
        <f>+E65-I65</f>
        <v>0</v>
      </c>
      <c r="L65" s="136">
        <f>+J44*K65</f>
        <v>0</v>
      </c>
      <c r="M65" s="123">
        <v>0.3</v>
      </c>
      <c r="N65" s="136">
        <f>+N44*M65</f>
        <v>0</v>
      </c>
      <c r="O65" s="121">
        <f>+E65-M65</f>
        <v>0</v>
      </c>
      <c r="P65" s="136">
        <f>+N44*O65</f>
        <v>0</v>
      </c>
      <c r="Q65" s="123">
        <v>0.3</v>
      </c>
      <c r="R65" s="136">
        <f>+R44*Q65</f>
        <v>0</v>
      </c>
      <c r="S65" s="121">
        <f>+E65-Q65</f>
        <v>0</v>
      </c>
      <c r="T65" s="136">
        <f>+R44*S65</f>
        <v>0</v>
      </c>
      <c r="V65" s="136">
        <f>+J65+N65+R65</f>
        <v>0</v>
      </c>
      <c r="X65" s="136">
        <f>+L65+P65+T65</f>
        <v>0</v>
      </c>
      <c r="Z65" s="138">
        <f>+V65+X65</f>
        <v>0</v>
      </c>
    </row>
    <row r="66" spans="1:27" x14ac:dyDescent="0.35">
      <c r="B66" s="176"/>
      <c r="C66" s="4"/>
      <c r="E66" s="115"/>
      <c r="K66" s="121">
        <f>+E65</f>
        <v>0.3</v>
      </c>
      <c r="L66" s="136">
        <f>+L44*K66</f>
        <v>0</v>
      </c>
      <c r="O66" s="121">
        <f>+E65</f>
        <v>0.3</v>
      </c>
      <c r="P66" s="136">
        <f>+P44*O66</f>
        <v>24354.723599999998</v>
      </c>
      <c r="S66" s="121">
        <f>+E65</f>
        <v>0.3</v>
      </c>
      <c r="T66" s="136">
        <f>+T44*S66</f>
        <v>0</v>
      </c>
      <c r="V66" s="136">
        <f>+J66+N66+R66</f>
        <v>0</v>
      </c>
      <c r="X66" s="136">
        <f>+L66+P66+T66</f>
        <v>24354.723599999998</v>
      </c>
      <c r="Z66" s="138">
        <f>+V66+X66</f>
        <v>24354.723599999998</v>
      </c>
    </row>
    <row r="67" spans="1:27" x14ac:dyDescent="0.35">
      <c r="C67" s="162" t="s">
        <v>171</v>
      </c>
      <c r="D67" s="162"/>
      <c r="E67" s="179" t="s">
        <v>13</v>
      </c>
      <c r="F67" s="162"/>
      <c r="G67" s="162"/>
      <c r="H67" s="155">
        <f>SUM(H65:H66)</f>
        <v>24354.723599999998</v>
      </c>
      <c r="I67" s="156"/>
      <c r="J67" s="157">
        <f>SUM(J65:J66)</f>
        <v>0</v>
      </c>
      <c r="K67" s="158"/>
      <c r="L67" s="157">
        <f>SUM(L65:L66)</f>
        <v>0</v>
      </c>
      <c r="M67" s="156"/>
      <c r="N67" s="157">
        <f>SUM(N65:N66)</f>
        <v>0</v>
      </c>
      <c r="O67" s="158"/>
      <c r="P67" s="157">
        <f>SUM(P65:P66)</f>
        <v>24354.723599999998</v>
      </c>
      <c r="Q67" s="156"/>
      <c r="R67" s="157">
        <f>SUM(R65:R66)</f>
        <v>0</v>
      </c>
      <c r="S67" s="158"/>
      <c r="T67" s="157">
        <f>SUM(T65:T66)</f>
        <v>0</v>
      </c>
      <c r="U67" s="156"/>
      <c r="V67" s="157">
        <f>+J67+N67+R67</f>
        <v>0</v>
      </c>
      <c r="W67" s="158"/>
      <c r="X67" s="157">
        <f>+L67+P67+T67</f>
        <v>24354.723599999998</v>
      </c>
      <c r="Y67" s="170"/>
      <c r="Z67" s="171">
        <f>+V67+X67</f>
        <v>24354.723599999998</v>
      </c>
      <c r="AA67" s="116" t="str">
        <f>IF(H67=Z67,"TRUE","FALSE")</f>
        <v>TRUE</v>
      </c>
    </row>
    <row r="68" spans="1:27" ht="7.5" customHeight="1" x14ac:dyDescent="0.35">
      <c r="C68" s="4"/>
      <c r="E68" s="115"/>
    </row>
    <row r="69" spans="1:27" ht="12.75" customHeight="1" x14ac:dyDescent="0.35">
      <c r="C69" s="4"/>
      <c r="E69" s="115"/>
      <c r="I69" s="259"/>
      <c r="J69" s="260"/>
      <c r="K69" s="261"/>
      <c r="L69" s="262">
        <f>+J70+L70</f>
        <v>50264.862986578533</v>
      </c>
      <c r="M69" s="259"/>
      <c r="N69" s="260"/>
      <c r="O69" s="261"/>
      <c r="P69" s="262">
        <f>+N70+P70</f>
        <v>75176.660557506228</v>
      </c>
      <c r="Q69" s="259"/>
      <c r="R69" s="260"/>
      <c r="S69" s="261"/>
      <c r="T69" s="262">
        <f>+R70+T70</f>
        <v>8604.0069821938723</v>
      </c>
      <c r="U69" s="259"/>
      <c r="V69" s="260"/>
      <c r="W69" s="261"/>
      <c r="X69" s="260"/>
      <c r="Y69" s="263"/>
      <c r="Z69" s="246">
        <f>+T69+P69+L69</f>
        <v>134045.53052627863</v>
      </c>
    </row>
    <row r="70" spans="1:27" s="4" customFormat="1" x14ac:dyDescent="0.35">
      <c r="A70" s="145" t="s">
        <v>164</v>
      </c>
      <c r="B70" s="145"/>
      <c r="C70" s="117" t="s">
        <v>171</v>
      </c>
      <c r="D70" s="117"/>
      <c r="E70" s="130"/>
      <c r="F70" s="245"/>
      <c r="G70" s="127"/>
      <c r="H70" s="174">
        <f>+H51+H55+H59+H63+H67</f>
        <v>134045.53052627863</v>
      </c>
      <c r="I70" s="129"/>
      <c r="J70" s="137">
        <f>+J51+J55+J59+J63+J67</f>
        <v>0</v>
      </c>
      <c r="K70" s="130"/>
      <c r="L70" s="243">
        <f>+L51+L55+L59+L63+L67</f>
        <v>50264.862986578533</v>
      </c>
      <c r="M70" s="129"/>
      <c r="N70" s="137">
        <f>+N51+N55+N59+N63+N67</f>
        <v>0</v>
      </c>
      <c r="O70" s="130"/>
      <c r="P70" s="243">
        <f>+P51+P55+P59+P63+P67</f>
        <v>75176.660557506228</v>
      </c>
      <c r="Q70" s="129"/>
      <c r="R70" s="137">
        <f>+R51+R55+R59+R63+R67</f>
        <v>2968.0131359131778</v>
      </c>
      <c r="S70" s="130"/>
      <c r="T70" s="243">
        <f>+T51+T55+T59+T63+T67</f>
        <v>5635.993846280694</v>
      </c>
      <c r="U70" s="129"/>
      <c r="V70" s="137">
        <f>+V67+V63+V59+V55+V51</f>
        <v>2968.0131359131778</v>
      </c>
      <c r="W70" s="137"/>
      <c r="X70" s="137">
        <f>+X67+X63+X59+X55+X51</f>
        <v>131077.51739036545</v>
      </c>
      <c r="Y70" s="137"/>
      <c r="Z70" s="137">
        <f>+Z67+Z63+Z59+Z55+Z51</f>
        <v>134045.53052627863</v>
      </c>
      <c r="AA70" s="116" t="str">
        <f>IF(H70=Z70,"TRUE","FALSE")</f>
        <v>TRUE</v>
      </c>
    </row>
    <row r="71" spans="1:27" s="4" customFormat="1" ht="12.75" customHeight="1" x14ac:dyDescent="0.35">
      <c r="A71" s="144"/>
      <c r="B71" s="144"/>
      <c r="E71" s="132"/>
      <c r="F71" s="149"/>
      <c r="G71" s="125"/>
      <c r="H71" s="134"/>
      <c r="I71" s="182"/>
      <c r="J71" s="169"/>
      <c r="K71" s="132"/>
      <c r="L71" s="169"/>
      <c r="M71" s="182"/>
      <c r="N71" s="169"/>
      <c r="O71" s="132"/>
      <c r="P71" s="169"/>
      <c r="Q71" s="182"/>
      <c r="R71" s="169"/>
      <c r="S71" s="132"/>
      <c r="T71" s="169"/>
      <c r="U71" s="182"/>
      <c r="V71" s="197">
        <f>+J70+N70+R70</f>
        <v>2968.0131359131778</v>
      </c>
      <c r="W71" s="198"/>
      <c r="X71" s="197">
        <f>+L70+P70+T70</f>
        <v>131077.51739036545</v>
      </c>
      <c r="Y71" s="199"/>
      <c r="Z71" s="200">
        <f>+V71+X71</f>
        <v>134045.53052627863</v>
      </c>
      <c r="AA71" s="116"/>
    </row>
    <row r="72" spans="1:27" ht="15" customHeight="1" x14ac:dyDescent="0.35">
      <c r="H72" s="134" t="s">
        <v>112</v>
      </c>
      <c r="I72" s="247"/>
      <c r="J72" s="248"/>
      <c r="K72" s="249"/>
      <c r="L72" s="250">
        <f>+J73+L73</f>
        <v>239096.35263341182</v>
      </c>
      <c r="M72" s="251"/>
      <c r="N72" s="252"/>
      <c r="O72" s="253"/>
      <c r="P72" s="254">
        <f>+N73+P73</f>
        <v>311565.88092664222</v>
      </c>
      <c r="Q72" s="255"/>
      <c r="R72" s="256"/>
      <c r="S72" s="257"/>
      <c r="T72" s="258">
        <f>+R73+T73</f>
        <v>48006.892482635347</v>
      </c>
      <c r="U72" s="259"/>
      <c r="V72" s="260"/>
      <c r="W72" s="261"/>
      <c r="X72" s="260"/>
      <c r="Y72" s="263"/>
      <c r="Z72" s="246">
        <f>+T72+P72+L72</f>
        <v>598669.12604268943</v>
      </c>
    </row>
    <row r="73" spans="1:27" s="4" customFormat="1" ht="15.5" x14ac:dyDescent="0.35">
      <c r="A73" s="4" t="s">
        <v>176</v>
      </c>
      <c r="B73" s="144"/>
      <c r="C73" s="1" t="s">
        <v>177</v>
      </c>
      <c r="E73" s="132"/>
      <c r="F73" s="149"/>
      <c r="G73" s="125"/>
      <c r="H73" s="134">
        <f>+H70+H45</f>
        <v>598669.12604268943</v>
      </c>
      <c r="I73" s="184"/>
      <c r="J73" s="183">
        <f>+J70+J45</f>
        <v>0</v>
      </c>
      <c r="K73" s="185"/>
      <c r="L73" s="183">
        <f>+L70+L45</f>
        <v>239096.35263341182</v>
      </c>
      <c r="M73" s="186"/>
      <c r="N73" s="187">
        <f>+N70+N45</f>
        <v>0</v>
      </c>
      <c r="O73" s="188"/>
      <c r="P73" s="187">
        <f>+P70+P45</f>
        <v>311565.88092664222</v>
      </c>
      <c r="Q73" s="189"/>
      <c r="R73" s="190">
        <f>+R70+R45</f>
        <v>20001.39025562377</v>
      </c>
      <c r="S73" s="191"/>
      <c r="T73" s="190">
        <f>+T70+T45</f>
        <v>28005.502227011573</v>
      </c>
      <c r="U73" s="192"/>
      <c r="V73" s="193">
        <f t="shared" ref="V73:V79" si="16">+J73+N73+R73</f>
        <v>20001.39025562377</v>
      </c>
      <c r="W73" s="194"/>
      <c r="X73" s="193">
        <f t="shared" ref="X73:X79" si="17">+L73+P73+T73</f>
        <v>578667.7357870657</v>
      </c>
      <c r="Y73" s="195"/>
      <c r="Z73" s="196">
        <f t="shared" ref="Z73:Z79" si="18">+V73+X73</f>
        <v>598669.12604268943</v>
      </c>
      <c r="AA73" s="116" t="str">
        <f>IF(H73=Z73,"TRUE","FALSE")</f>
        <v>TRUE</v>
      </c>
    </row>
    <row r="74" spans="1:27" x14ac:dyDescent="0.35">
      <c r="E74" s="121" t="s">
        <v>1</v>
      </c>
      <c r="H74" s="133">
        <f>+H38+H39+H51</f>
        <v>118418.1511709834</v>
      </c>
      <c r="J74" s="136">
        <f>+J38+J51</f>
        <v>0</v>
      </c>
      <c r="L74" s="136">
        <f>+L38+L51</f>
        <v>62402.443586212503</v>
      </c>
      <c r="N74" s="136">
        <f>+N38+N51</f>
        <v>0</v>
      </c>
      <c r="P74" s="136">
        <f>+P38+P51</f>
        <v>44812.691423999997</v>
      </c>
      <c r="R74" s="136">
        <f>+R38+R39+R51</f>
        <v>10967.478992030554</v>
      </c>
      <c r="T74" s="136">
        <f>+T38+T51</f>
        <v>235.53716874034183</v>
      </c>
      <c r="V74" s="136">
        <f t="shared" si="16"/>
        <v>10967.478992030554</v>
      </c>
      <c r="X74" s="136">
        <f t="shared" si="17"/>
        <v>107450.67217895284</v>
      </c>
      <c r="Z74" s="138">
        <f t="shared" si="18"/>
        <v>118418.15117098339</v>
      </c>
    </row>
    <row r="75" spans="1:27" x14ac:dyDescent="0.35">
      <c r="B75"/>
      <c r="E75" s="121" t="s">
        <v>7</v>
      </c>
      <c r="H75" s="133">
        <f>+H40+H55</f>
        <v>141350.67923825193</v>
      </c>
      <c r="J75" s="136">
        <f>+J40+J55</f>
        <v>0</v>
      </c>
      <c r="L75" s="136">
        <f>+L40+L55</f>
        <v>70151.964662257247</v>
      </c>
      <c r="N75" s="136">
        <f>+N40+N55</f>
        <v>0</v>
      </c>
      <c r="P75" s="136">
        <f>+P40+P55</f>
        <v>55678.918302642247</v>
      </c>
      <c r="R75" s="136">
        <f>+R40+R55</f>
        <v>9033.9112635932161</v>
      </c>
      <c r="T75" s="136">
        <f>+T40+T55</f>
        <v>6485.8850097592331</v>
      </c>
      <c r="U75" s="349" t="s">
        <v>178</v>
      </c>
      <c r="V75" s="350">
        <f t="shared" si="16"/>
        <v>9033.9112635932161</v>
      </c>
      <c r="X75" s="136">
        <f t="shared" si="17"/>
        <v>132316.76797465872</v>
      </c>
      <c r="Z75" s="138">
        <f t="shared" si="18"/>
        <v>141350.67923825193</v>
      </c>
    </row>
    <row r="76" spans="1:27" x14ac:dyDescent="0.35">
      <c r="B76"/>
      <c r="E76" s="121" t="s">
        <v>9</v>
      </c>
      <c r="H76" s="133">
        <f>+H41+H59+H42</f>
        <v>127826.02443345408</v>
      </c>
      <c r="J76" s="136">
        <f>+J41+J59+J42</f>
        <v>0</v>
      </c>
      <c r="L76" s="136">
        <f>+L41+L59+L42</f>
        <v>106541.94438494208</v>
      </c>
      <c r="N76" s="136">
        <f>+N41+N59+N42</f>
        <v>0</v>
      </c>
      <c r="P76" s="136">
        <f>+P41+P59+P42</f>
        <v>0</v>
      </c>
      <c r="R76" s="136">
        <f>+R41+R59+R42</f>
        <v>0</v>
      </c>
      <c r="T76" s="136">
        <f>+T41+T59+T42</f>
        <v>21284.080048511998</v>
      </c>
      <c r="U76" s="349" t="s">
        <v>178</v>
      </c>
      <c r="V76" s="350">
        <f t="shared" si="16"/>
        <v>0</v>
      </c>
      <c r="X76" s="136">
        <f t="shared" si="17"/>
        <v>127826.02443345408</v>
      </c>
      <c r="Z76" s="138">
        <f t="shared" si="18"/>
        <v>127826.02443345408</v>
      </c>
    </row>
    <row r="77" spans="1:27" x14ac:dyDescent="0.35">
      <c r="B77"/>
      <c r="E77" s="121" t="s">
        <v>11</v>
      </c>
      <c r="H77" s="133">
        <f>+H43+H63</f>
        <v>105537.13559999999</v>
      </c>
      <c r="J77" s="136">
        <f>+J43+J63</f>
        <v>0</v>
      </c>
      <c r="L77" s="136">
        <f>+L43+L63</f>
        <v>0</v>
      </c>
      <c r="N77" s="136">
        <f>+N43+N63</f>
        <v>0</v>
      </c>
      <c r="P77" s="136">
        <f>+P43+P63</f>
        <v>105537.13559999999</v>
      </c>
      <c r="R77" s="136">
        <f>+R43+R63</f>
        <v>0</v>
      </c>
      <c r="T77" s="136">
        <f>+T43+T63</f>
        <v>0</v>
      </c>
      <c r="U77" s="349" t="s">
        <v>178</v>
      </c>
      <c r="V77" s="350">
        <f t="shared" si="16"/>
        <v>0</v>
      </c>
      <c r="X77" s="136">
        <f t="shared" si="17"/>
        <v>105537.13559999999</v>
      </c>
      <c r="Z77" s="138">
        <f t="shared" si="18"/>
        <v>105537.13559999999</v>
      </c>
    </row>
    <row r="78" spans="1:27" x14ac:dyDescent="0.35">
      <c r="B78"/>
      <c r="E78" s="121" t="s">
        <v>13</v>
      </c>
      <c r="H78" s="133">
        <f>+H44+H67</f>
        <v>105537.13559999999</v>
      </c>
      <c r="J78" s="136">
        <f>+J44+J67</f>
        <v>0</v>
      </c>
      <c r="L78" s="136">
        <f>+L44+L67</f>
        <v>0</v>
      </c>
      <c r="N78" s="136">
        <f>+N44+N67</f>
        <v>0</v>
      </c>
      <c r="P78" s="136">
        <f>+P44+P67</f>
        <v>105537.13559999999</v>
      </c>
      <c r="R78" s="136">
        <f>+R44+R67</f>
        <v>0</v>
      </c>
      <c r="T78" s="136">
        <f>+T44+T67</f>
        <v>0</v>
      </c>
      <c r="U78" s="349" t="s">
        <v>178</v>
      </c>
      <c r="V78" s="350">
        <f t="shared" si="16"/>
        <v>0</v>
      </c>
      <c r="X78" s="136">
        <f t="shared" si="17"/>
        <v>105537.13559999999</v>
      </c>
      <c r="Z78" s="138">
        <f t="shared" si="18"/>
        <v>105537.13559999999</v>
      </c>
    </row>
    <row r="79" spans="1:27" x14ac:dyDescent="0.35">
      <c r="B79" s="351" t="s">
        <v>179</v>
      </c>
      <c r="H79" s="201">
        <f>SUM(H74:H78)</f>
        <v>598669.12604268943</v>
      </c>
      <c r="J79" s="197">
        <f>SUM(J74:J78)</f>
        <v>0</v>
      </c>
      <c r="L79" s="197">
        <f>SUM(L74:L78)</f>
        <v>239096.35263341182</v>
      </c>
      <c r="N79" s="197">
        <f>SUM(N74:N78)</f>
        <v>0</v>
      </c>
      <c r="P79" s="197">
        <f>SUM(P74:P78)</f>
        <v>311565.88092664222</v>
      </c>
      <c r="R79" s="197">
        <f>SUM(R74:R78)</f>
        <v>20001.39025562377</v>
      </c>
      <c r="T79" s="197">
        <f>SUM(T74:T78)</f>
        <v>28005.502227011573</v>
      </c>
      <c r="V79" s="197">
        <f t="shared" si="16"/>
        <v>20001.39025562377</v>
      </c>
      <c r="W79" s="198"/>
      <c r="X79" s="197">
        <f t="shared" si="17"/>
        <v>578667.7357870657</v>
      </c>
      <c r="Y79" s="199"/>
      <c r="Z79" s="200">
        <f t="shared" si="18"/>
        <v>598669.12604268943</v>
      </c>
    </row>
  </sheetData>
  <mergeCells count="37">
    <mergeCell ref="S48:T48"/>
    <mergeCell ref="U48:V48"/>
    <mergeCell ref="W48:X48"/>
    <mergeCell ref="I48:J48"/>
    <mergeCell ref="K48:L48"/>
    <mergeCell ref="M48:N48"/>
    <mergeCell ref="O48:P48"/>
    <mergeCell ref="Q48:R48"/>
    <mergeCell ref="I47:L47"/>
    <mergeCell ref="M47:P47"/>
    <mergeCell ref="Q47:T47"/>
    <mergeCell ref="U47:Z47"/>
    <mergeCell ref="U37:V37"/>
    <mergeCell ref="W37:X37"/>
    <mergeCell ref="I37:J37"/>
    <mergeCell ref="K37:L37"/>
    <mergeCell ref="M37:N37"/>
    <mergeCell ref="O37:P37"/>
    <mergeCell ref="Q37:R37"/>
    <mergeCell ref="S37:T37"/>
    <mergeCell ref="I36:L36"/>
    <mergeCell ref="M36:P36"/>
    <mergeCell ref="Q36:T36"/>
    <mergeCell ref="U36:Z36"/>
    <mergeCell ref="I4:J4"/>
    <mergeCell ref="K4:L4"/>
    <mergeCell ref="M4:N4"/>
    <mergeCell ref="O4:P4"/>
    <mergeCell ref="Q4:R4"/>
    <mergeCell ref="S4:T4"/>
    <mergeCell ref="U4:V4"/>
    <mergeCell ref="W4:X4"/>
    <mergeCell ref="E3:H3"/>
    <mergeCell ref="I3:L3"/>
    <mergeCell ref="M3:P3"/>
    <mergeCell ref="Q3:T3"/>
    <mergeCell ref="U3:Z3"/>
  </mergeCells>
  <pageMargins left="0.17" right="0.17" top="0.41" bottom="0.17" header="0.3" footer="0.2"/>
  <pageSetup paperSize="5" scale="95" orientation="landscape" r:id="rId1"/>
  <rowBreaks count="1" manualBreakCount="1">
    <brk id="35" max="16383" man="1"/>
  </rowBreaks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U55"/>
  <sheetViews>
    <sheetView topLeftCell="B31" workbookViewId="0">
      <selection activeCell="U12" sqref="U12"/>
    </sheetView>
  </sheetViews>
  <sheetFormatPr defaultRowHeight="14.5" x14ac:dyDescent="0.35"/>
  <cols>
    <col min="1" max="1" width="31.7265625" customWidth="1"/>
    <col min="2" max="2" width="8" style="122" customWidth="1"/>
    <col min="3" max="4" width="8.7265625" style="5" customWidth="1"/>
    <col min="5" max="5" width="8.453125" style="178" customWidth="1"/>
    <col min="6" max="6" width="9.54296875" style="211" customWidth="1"/>
    <col min="7" max="8" width="8.7265625" customWidth="1"/>
    <col min="9" max="9" width="8.26953125" style="4" customWidth="1"/>
    <col min="10" max="10" width="8.81640625" style="211" customWidth="1"/>
    <col min="11" max="12" width="8.7265625" customWidth="1"/>
    <col min="13" max="13" width="8.54296875" style="4" customWidth="1"/>
    <col min="14" max="14" width="9.1796875" style="211"/>
    <col min="17" max="17" width="8.54296875" style="4" customWidth="1"/>
    <col min="18" max="18" width="9.1796875" style="21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602" t="s">
        <v>204</v>
      </c>
      <c r="C2" s="593"/>
      <c r="D2" s="593"/>
      <c r="E2" s="603"/>
      <c r="F2" s="602" t="s">
        <v>205</v>
      </c>
      <c r="G2" s="593"/>
      <c r="H2" s="593"/>
      <c r="I2" s="593"/>
      <c r="J2" s="602" t="s">
        <v>206</v>
      </c>
      <c r="K2" s="593"/>
      <c r="L2" s="593"/>
      <c r="M2" s="593"/>
      <c r="N2" s="602" t="s">
        <v>207</v>
      </c>
      <c r="O2" s="593"/>
      <c r="P2" s="593"/>
      <c r="Q2" s="603"/>
      <c r="R2" s="602" t="s">
        <v>208</v>
      </c>
      <c r="S2" s="593"/>
      <c r="T2" s="593"/>
      <c r="U2" s="593"/>
    </row>
    <row r="3" spans="1:21" x14ac:dyDescent="0.35">
      <c r="A3" s="213" t="s">
        <v>50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ht="19.5" customHeight="1" x14ac:dyDescent="0.35">
      <c r="A5" s="277" t="s">
        <v>209</v>
      </c>
      <c r="B5" s="275" t="s">
        <v>1</v>
      </c>
      <c r="C5" s="276" t="s">
        <v>7</v>
      </c>
      <c r="D5" s="276" t="s">
        <v>9</v>
      </c>
      <c r="E5" s="214">
        <f>SUM(E6:E8)</f>
        <v>5300</v>
      </c>
      <c r="F5" s="275" t="s">
        <v>1</v>
      </c>
      <c r="G5" s="276" t="s">
        <v>7</v>
      </c>
      <c r="H5" s="276" t="s">
        <v>9</v>
      </c>
      <c r="I5" s="214">
        <f>SUM(I6:I8)</f>
        <v>1500</v>
      </c>
      <c r="J5" s="275" t="s">
        <v>1</v>
      </c>
      <c r="K5" s="276" t="s">
        <v>7</v>
      </c>
      <c r="L5" s="276" t="s">
        <v>9</v>
      </c>
      <c r="M5" s="214">
        <f>SUM(M6:M8)</f>
        <v>0</v>
      </c>
      <c r="N5" s="275" t="s">
        <v>1</v>
      </c>
      <c r="O5" s="276" t="s">
        <v>7</v>
      </c>
      <c r="P5" s="276" t="s">
        <v>9</v>
      </c>
      <c r="Q5" s="214">
        <f>SUM(Q6:Q8)</f>
        <v>0</v>
      </c>
      <c r="R5" s="275" t="s">
        <v>1</v>
      </c>
      <c r="S5" s="276" t="s">
        <v>7</v>
      </c>
      <c r="T5" s="276" t="s">
        <v>9</v>
      </c>
      <c r="U5" s="214">
        <f>SUM(U6:U8)</f>
        <v>0</v>
      </c>
    </row>
    <row r="6" spans="1:21" x14ac:dyDescent="0.35">
      <c r="A6" t="s">
        <v>210</v>
      </c>
      <c r="B6" s="122">
        <v>1000</v>
      </c>
      <c r="C6" s="5">
        <v>1000</v>
      </c>
      <c r="D6" s="5">
        <v>1000</v>
      </c>
      <c r="E6" s="178">
        <f>SUM(B6:D6)</f>
        <v>3000</v>
      </c>
      <c r="I6" s="178">
        <f>SUM(F6:H6)</f>
        <v>0</v>
      </c>
      <c r="M6" s="178">
        <f>SUM(J6:L6)</f>
        <v>0</v>
      </c>
      <c r="Q6" s="178">
        <f>SUM(N6:P6)</f>
        <v>0</v>
      </c>
      <c r="U6" s="178">
        <f>SUM(R6:T6)</f>
        <v>0</v>
      </c>
    </row>
    <row r="7" spans="1:21" x14ac:dyDescent="0.35">
      <c r="A7" t="s">
        <v>211</v>
      </c>
      <c r="C7" s="5">
        <v>500</v>
      </c>
      <c r="E7" s="178">
        <f>SUM(C7:D7)</f>
        <v>500</v>
      </c>
      <c r="F7" s="122"/>
      <c r="G7" s="5"/>
      <c r="H7" s="5"/>
      <c r="I7" s="178">
        <f>SUM(G7:H7)</f>
        <v>0</v>
      </c>
      <c r="J7" s="122"/>
      <c r="K7" s="5"/>
      <c r="L7" s="5"/>
      <c r="M7" s="178">
        <f>SUM(K7:L7)</f>
        <v>0</v>
      </c>
      <c r="N7" s="122"/>
      <c r="O7" s="5"/>
      <c r="P7" s="5"/>
      <c r="Q7" s="178">
        <f>SUM(O7:P7)</f>
        <v>0</v>
      </c>
      <c r="R7" s="122"/>
      <c r="S7" s="5"/>
      <c r="T7" s="5"/>
      <c r="U7" s="178">
        <f>SUM(S7:T7)</f>
        <v>0</v>
      </c>
    </row>
    <row r="8" spans="1:21" s="46" customFormat="1" x14ac:dyDescent="0.35">
      <c r="A8" s="116" t="s">
        <v>212</v>
      </c>
      <c r="B8" s="222">
        <v>600</v>
      </c>
      <c r="C8" s="47">
        <v>600</v>
      </c>
      <c r="D8" s="47">
        <v>600</v>
      </c>
      <c r="E8" s="223">
        <f>SUM(B8:D8)</f>
        <v>1800</v>
      </c>
      <c r="F8" s="222">
        <v>500</v>
      </c>
      <c r="G8" s="47">
        <v>500</v>
      </c>
      <c r="H8" s="47">
        <v>500</v>
      </c>
      <c r="I8" s="223">
        <f>SUM(F8:H8)</f>
        <v>1500</v>
      </c>
      <c r="J8" s="222"/>
      <c r="K8" s="47"/>
      <c r="L8" s="47"/>
      <c r="M8" s="223">
        <f>SUM(J8:L8)</f>
        <v>0</v>
      </c>
      <c r="N8" s="222">
        <v>0</v>
      </c>
      <c r="O8" s="47">
        <v>0</v>
      </c>
      <c r="P8" s="47">
        <v>0</v>
      </c>
      <c r="Q8" s="223">
        <f>SUM(O8:P8)</f>
        <v>0</v>
      </c>
      <c r="R8" s="222">
        <v>0</v>
      </c>
      <c r="S8" s="47">
        <v>0</v>
      </c>
      <c r="T8" s="47">
        <v>0</v>
      </c>
      <c r="U8" s="223">
        <f>SUM(S8:T8)</f>
        <v>0</v>
      </c>
    </row>
    <row r="9" spans="1:21" x14ac:dyDescent="0.35">
      <c r="F9" s="122"/>
      <c r="G9" s="5"/>
      <c r="H9" s="5"/>
      <c r="I9" s="178"/>
      <c r="J9" s="122"/>
      <c r="K9" s="5"/>
      <c r="L9" s="5"/>
      <c r="M9" s="178"/>
      <c r="Q9" s="178"/>
      <c r="U9" s="178"/>
    </row>
    <row r="10" spans="1:21" x14ac:dyDescent="0.35">
      <c r="B10" s="122" t="s">
        <v>213</v>
      </c>
      <c r="C10"/>
      <c r="D10" s="5" t="s">
        <v>214</v>
      </c>
      <c r="F10" s="122" t="s">
        <v>213</v>
      </c>
      <c r="H10" s="5" t="s">
        <v>214</v>
      </c>
      <c r="I10" s="178"/>
      <c r="J10" s="122" t="s">
        <v>213</v>
      </c>
      <c r="L10" s="5" t="s">
        <v>214</v>
      </c>
      <c r="M10" s="178"/>
      <c r="N10" s="122" t="s">
        <v>213</v>
      </c>
      <c r="P10" s="5" t="s">
        <v>214</v>
      </c>
      <c r="Q10" s="178"/>
      <c r="R10" s="122" t="s">
        <v>213</v>
      </c>
      <c r="T10" s="5" t="s">
        <v>214</v>
      </c>
      <c r="U10" s="178"/>
    </row>
    <row r="11" spans="1:21" x14ac:dyDescent="0.35">
      <c r="B11" s="122" t="s">
        <v>215</v>
      </c>
      <c r="C11" s="5" t="s">
        <v>216</v>
      </c>
      <c r="D11" s="5" t="s">
        <v>217</v>
      </c>
      <c r="E11" s="178" t="s">
        <v>49</v>
      </c>
      <c r="F11" s="122" t="s">
        <v>215</v>
      </c>
      <c r="G11" s="5" t="s">
        <v>216</v>
      </c>
      <c r="H11" s="5" t="s">
        <v>217</v>
      </c>
      <c r="I11" s="178" t="s">
        <v>49</v>
      </c>
      <c r="J11" s="122" t="s">
        <v>215</v>
      </c>
      <c r="K11" s="5" t="s">
        <v>216</v>
      </c>
      <c r="L11" s="5" t="s">
        <v>217</v>
      </c>
      <c r="M11" s="178" t="s">
        <v>49</v>
      </c>
      <c r="N11" s="122" t="s">
        <v>215</v>
      </c>
      <c r="O11" s="5" t="s">
        <v>216</v>
      </c>
      <c r="P11" s="5" t="s">
        <v>217</v>
      </c>
      <c r="Q11" s="178" t="s">
        <v>49</v>
      </c>
      <c r="R11" s="122" t="s">
        <v>215</v>
      </c>
      <c r="S11" s="5" t="s">
        <v>216</v>
      </c>
      <c r="T11" s="5" t="s">
        <v>217</v>
      </c>
      <c r="U11" s="178" t="s">
        <v>49</v>
      </c>
    </row>
    <row r="12" spans="1:21" x14ac:dyDescent="0.35">
      <c r="A12" s="277" t="s">
        <v>218</v>
      </c>
      <c r="E12" s="214">
        <f>+E13+E19+E25+E32+E40</f>
        <v>11400</v>
      </c>
      <c r="F12" s="122"/>
      <c r="G12" s="5"/>
      <c r="H12" s="5"/>
      <c r="I12" s="214">
        <f>+I13+I19+I25+I32+I40</f>
        <v>9900</v>
      </c>
      <c r="J12" s="122"/>
      <c r="K12" s="5"/>
      <c r="L12" s="5"/>
      <c r="M12" s="214">
        <f>+M13+M19+M25+M32+M40</f>
        <v>9900</v>
      </c>
      <c r="Q12" s="214">
        <f>+Q13+Q19+Q25+Q32+Q40</f>
        <v>0</v>
      </c>
      <c r="U12" s="214">
        <f>+U13+U19+U25+U32+U40</f>
        <v>0</v>
      </c>
    </row>
    <row r="13" spans="1:21" s="327" customFormat="1" x14ac:dyDescent="0.35">
      <c r="A13" s="323" t="s">
        <v>219</v>
      </c>
      <c r="B13" s="324"/>
      <c r="C13" s="325"/>
      <c r="D13" s="325"/>
      <c r="E13" s="326">
        <f>SUM(E14:E17)</f>
        <v>3400</v>
      </c>
      <c r="F13" s="324"/>
      <c r="G13" s="325"/>
      <c r="H13" s="325"/>
      <c r="I13" s="326">
        <f>SUM(I14:I17)</f>
        <v>2600</v>
      </c>
      <c r="J13" s="324"/>
      <c r="K13" s="325"/>
      <c r="L13" s="325"/>
      <c r="M13" s="326">
        <f>SUM(M14:M17)</f>
        <v>2600</v>
      </c>
      <c r="N13" s="328"/>
      <c r="Q13" s="326">
        <f>SUM(Q14:Q17)</f>
        <v>0</v>
      </c>
      <c r="R13" s="328"/>
      <c r="U13" s="326">
        <f>SUM(U14:U17)</f>
        <v>0</v>
      </c>
    </row>
    <row r="14" spans="1:21" s="313" customFormat="1" x14ac:dyDescent="0.35">
      <c r="A14" s="313" t="s">
        <v>220</v>
      </c>
      <c r="B14" s="329">
        <v>20</v>
      </c>
      <c r="C14" s="330">
        <v>8</v>
      </c>
      <c r="D14" s="330">
        <v>10</v>
      </c>
      <c r="E14" s="331">
        <f>+B14*C14*D14</f>
        <v>1600</v>
      </c>
      <c r="F14" s="329">
        <v>20</v>
      </c>
      <c r="G14" s="330">
        <v>6</v>
      </c>
      <c r="H14" s="330">
        <v>10</v>
      </c>
      <c r="I14" s="331">
        <f>+F14*G14*H14</f>
        <v>1200</v>
      </c>
      <c r="J14" s="329">
        <v>20</v>
      </c>
      <c r="K14" s="330">
        <v>6</v>
      </c>
      <c r="L14" s="330">
        <v>10</v>
      </c>
      <c r="M14" s="331">
        <f>+J14*K14*L14</f>
        <v>1200</v>
      </c>
      <c r="N14" s="332"/>
      <c r="Q14" s="333"/>
      <c r="R14" s="332"/>
      <c r="U14" s="333"/>
    </row>
    <row r="15" spans="1:21" s="313" customFormat="1" x14ac:dyDescent="0.35">
      <c r="A15" s="313" t="s">
        <v>221</v>
      </c>
      <c r="B15" s="329">
        <v>12</v>
      </c>
      <c r="C15" s="330">
        <v>15</v>
      </c>
      <c r="D15" s="330">
        <v>10</v>
      </c>
      <c r="E15" s="331">
        <f>+B15*C15*D15</f>
        <v>1800</v>
      </c>
      <c r="F15" s="329">
        <v>12</v>
      </c>
      <c r="G15" s="330">
        <v>12</v>
      </c>
      <c r="H15" s="330">
        <v>10</v>
      </c>
      <c r="I15" s="331">
        <f>+F15*G15*H15-40</f>
        <v>1400</v>
      </c>
      <c r="J15" s="329">
        <v>12</v>
      </c>
      <c r="K15" s="330">
        <v>12</v>
      </c>
      <c r="L15" s="330">
        <v>10</v>
      </c>
      <c r="M15" s="331">
        <f>+J15*K15*L15-40</f>
        <v>1400</v>
      </c>
      <c r="N15" s="332"/>
      <c r="Q15" s="333"/>
      <c r="R15" s="332"/>
      <c r="U15" s="333"/>
    </row>
    <row r="18" spans="1:21" s="104" customFormat="1" x14ac:dyDescent="0.35">
      <c r="B18" s="272"/>
      <c r="C18" s="273"/>
      <c r="D18" s="273"/>
      <c r="E18" s="215" t="s">
        <v>49</v>
      </c>
      <c r="F18" s="274"/>
      <c r="I18" s="215" t="s">
        <v>49</v>
      </c>
      <c r="J18" s="274"/>
      <c r="M18" s="215" t="s">
        <v>49</v>
      </c>
      <c r="N18" s="274"/>
      <c r="Q18" s="215" t="s">
        <v>49</v>
      </c>
      <c r="R18" s="274"/>
      <c r="U18" s="215" t="s">
        <v>49</v>
      </c>
    </row>
    <row r="19" spans="1:21" s="104" customFormat="1" x14ac:dyDescent="0.35">
      <c r="A19" s="270" t="s">
        <v>222</v>
      </c>
      <c r="B19" s="272"/>
      <c r="C19" s="273" t="s">
        <v>223</v>
      </c>
      <c r="D19" s="273" t="s">
        <v>224</v>
      </c>
      <c r="E19" s="268">
        <f>SUM(E20:E22)</f>
        <v>3000</v>
      </c>
      <c r="F19" s="274"/>
      <c r="G19" s="273" t="s">
        <v>223</v>
      </c>
      <c r="H19" s="273" t="s">
        <v>224</v>
      </c>
      <c r="I19" s="268">
        <f>SUM(I20:I22)</f>
        <v>2300</v>
      </c>
      <c r="J19" s="274"/>
      <c r="K19" s="273" t="s">
        <v>223</v>
      </c>
      <c r="L19" s="273" t="s">
        <v>224</v>
      </c>
      <c r="M19" s="268">
        <f>SUM(M20:M22)</f>
        <v>2300</v>
      </c>
      <c r="N19" s="274"/>
      <c r="O19" s="273" t="s">
        <v>223</v>
      </c>
      <c r="P19" s="273" t="s">
        <v>224</v>
      </c>
      <c r="Q19" s="268">
        <f>SUM(Q20:Q22)</f>
        <v>0</v>
      </c>
      <c r="R19" s="274"/>
      <c r="S19" s="273" t="s">
        <v>223</v>
      </c>
      <c r="T19" s="273" t="s">
        <v>224</v>
      </c>
      <c r="U19" s="268">
        <f>SUM(U20:U22)</f>
        <v>0</v>
      </c>
    </row>
    <row r="20" spans="1:21" x14ac:dyDescent="0.35">
      <c r="A20" t="s">
        <v>225</v>
      </c>
      <c r="C20" s="5">
        <v>3000</v>
      </c>
      <c r="D20" s="5">
        <v>0.51</v>
      </c>
      <c r="E20" s="178">
        <f>+C20*D20-30</f>
        <v>1500</v>
      </c>
      <c r="G20" s="5">
        <v>1800</v>
      </c>
      <c r="H20" s="5">
        <v>0.51</v>
      </c>
      <c r="I20" s="178">
        <f>+G20*H20-18</f>
        <v>900</v>
      </c>
      <c r="K20" s="5">
        <v>1800</v>
      </c>
      <c r="L20" s="5">
        <v>0.51</v>
      </c>
      <c r="M20" s="178">
        <f>+I20</f>
        <v>900</v>
      </c>
      <c r="Q20" s="178">
        <f>+O20*P20</f>
        <v>0</v>
      </c>
      <c r="U20" s="178">
        <f>+S20*T20</f>
        <v>0</v>
      </c>
    </row>
    <row r="21" spans="1:21" x14ac:dyDescent="0.35">
      <c r="A21" t="s">
        <v>226</v>
      </c>
      <c r="C21" s="5">
        <v>3000</v>
      </c>
      <c r="D21" s="5">
        <v>0.51</v>
      </c>
      <c r="E21" s="178">
        <f>+C21*D21-30</f>
        <v>1500</v>
      </c>
      <c r="G21" s="5">
        <v>1800</v>
      </c>
      <c r="H21" s="5">
        <v>0.51</v>
      </c>
      <c r="I21" s="178">
        <f>+G21*H21-18</f>
        <v>900</v>
      </c>
      <c r="K21" s="5">
        <v>1800</v>
      </c>
      <c r="L21" s="5">
        <v>0.51</v>
      </c>
      <c r="M21" s="178">
        <f>+I21</f>
        <v>900</v>
      </c>
      <c r="Q21" s="178">
        <f>+O21*P21</f>
        <v>0</v>
      </c>
      <c r="U21" s="178">
        <f>+S21*T21</f>
        <v>0</v>
      </c>
    </row>
    <row r="22" spans="1:21" s="313" customFormat="1" x14ac:dyDescent="0.35">
      <c r="A22" s="313" t="s">
        <v>227</v>
      </c>
      <c r="B22" s="329"/>
      <c r="C22" s="330"/>
      <c r="D22" s="330"/>
      <c r="E22" s="331"/>
      <c r="F22" s="332"/>
      <c r="G22" s="330">
        <v>1000</v>
      </c>
      <c r="H22" s="330">
        <v>0.51</v>
      </c>
      <c r="I22" s="331">
        <f>+G22*H22-10</f>
        <v>500</v>
      </c>
      <c r="J22" s="332"/>
      <c r="K22" s="330">
        <v>1000</v>
      </c>
      <c r="L22" s="330">
        <v>0.51</v>
      </c>
      <c r="M22" s="331">
        <f>+I22</f>
        <v>500</v>
      </c>
      <c r="N22" s="332"/>
      <c r="Q22" s="331">
        <v>0</v>
      </c>
      <c r="R22" s="332"/>
      <c r="U22" s="331">
        <v>0</v>
      </c>
    </row>
    <row r="23" spans="1:21" x14ac:dyDescent="0.35">
      <c r="G23" s="5"/>
      <c r="H23" s="5"/>
      <c r="I23" s="178"/>
      <c r="K23" s="5"/>
      <c r="L23" s="5"/>
      <c r="M23" s="178"/>
      <c r="Q23" s="178"/>
      <c r="U23" s="178"/>
    </row>
    <row r="24" spans="1:21" s="104" customFormat="1" x14ac:dyDescent="0.35">
      <c r="A24" s="270" t="s">
        <v>228</v>
      </c>
      <c r="B24" s="272" t="s">
        <v>229</v>
      </c>
      <c r="C24" s="273" t="s">
        <v>230</v>
      </c>
      <c r="D24" s="273" t="s">
        <v>231</v>
      </c>
      <c r="E24" s="215" t="s">
        <v>49</v>
      </c>
      <c r="F24" s="272" t="s">
        <v>229</v>
      </c>
      <c r="G24" s="273" t="s">
        <v>230</v>
      </c>
      <c r="H24" s="273" t="s">
        <v>231</v>
      </c>
      <c r="I24" s="215" t="s">
        <v>49</v>
      </c>
      <c r="J24" s="272" t="s">
        <v>229</v>
      </c>
      <c r="K24" s="273" t="s">
        <v>230</v>
      </c>
      <c r="L24" s="273" t="s">
        <v>231</v>
      </c>
      <c r="M24" s="215" t="s">
        <v>49</v>
      </c>
      <c r="N24" s="272" t="s">
        <v>229</v>
      </c>
      <c r="O24" s="273" t="s">
        <v>230</v>
      </c>
      <c r="P24" s="273" t="s">
        <v>231</v>
      </c>
      <c r="Q24" s="215" t="s">
        <v>49</v>
      </c>
      <c r="R24" s="272" t="s">
        <v>229</v>
      </c>
      <c r="S24" s="273" t="s">
        <v>230</v>
      </c>
      <c r="T24" s="273" t="s">
        <v>231</v>
      </c>
      <c r="U24" s="215" t="s">
        <v>49</v>
      </c>
    </row>
    <row r="25" spans="1:21" s="104" customFormat="1" x14ac:dyDescent="0.35">
      <c r="A25" s="270" t="s">
        <v>232</v>
      </c>
      <c r="B25" s="272"/>
      <c r="C25" s="273"/>
      <c r="D25" s="273"/>
      <c r="E25" s="268">
        <f>SUM(E26:E30)</f>
        <v>2600</v>
      </c>
      <c r="F25" s="272"/>
      <c r="G25" s="273"/>
      <c r="H25" s="273"/>
      <c r="I25" s="268">
        <f>SUM(I26:I30)</f>
        <v>2600</v>
      </c>
      <c r="J25" s="272"/>
      <c r="K25" s="273"/>
      <c r="L25" s="273"/>
      <c r="M25" s="268">
        <f>SUM(M26:M30)</f>
        <v>2600</v>
      </c>
      <c r="N25" s="274"/>
      <c r="Q25" s="268">
        <f>SUM(Q26:Q30)</f>
        <v>0</v>
      </c>
      <c r="R25" s="274"/>
      <c r="U25" s="268">
        <f>SUM(U26:U30)</f>
        <v>0</v>
      </c>
    </row>
    <row r="26" spans="1:21" x14ac:dyDescent="0.35">
      <c r="A26" t="s">
        <v>233</v>
      </c>
      <c r="B26" s="122">
        <v>15</v>
      </c>
      <c r="C26" s="5">
        <v>50</v>
      </c>
      <c r="E26" s="212">
        <f>+B26*C26</f>
        <v>750</v>
      </c>
      <c r="F26" s="122">
        <v>15</v>
      </c>
      <c r="G26" s="5">
        <v>50</v>
      </c>
      <c r="H26" s="5"/>
      <c r="I26" s="212">
        <f>+F26*G26</f>
        <v>750</v>
      </c>
      <c r="J26" s="122">
        <v>15</v>
      </c>
      <c r="K26" s="5">
        <v>50</v>
      </c>
      <c r="L26" s="5"/>
      <c r="M26" s="212">
        <f>+J26*K26</f>
        <v>750</v>
      </c>
    </row>
    <row r="27" spans="1:21" x14ac:dyDescent="0.35">
      <c r="A27" t="s">
        <v>234</v>
      </c>
      <c r="B27" s="122">
        <v>15</v>
      </c>
      <c r="C27" s="5">
        <v>100</v>
      </c>
      <c r="D27" s="5">
        <v>10</v>
      </c>
      <c r="E27" s="212">
        <f>+C27*D27</f>
        <v>1000</v>
      </c>
      <c r="F27" s="122">
        <v>15</v>
      </c>
      <c r="G27" s="5">
        <v>100</v>
      </c>
      <c r="H27" s="5">
        <v>10</v>
      </c>
      <c r="I27" s="212">
        <f>+G27*H27</f>
        <v>1000</v>
      </c>
      <c r="J27" s="122">
        <v>15</v>
      </c>
      <c r="K27" s="5">
        <v>100</v>
      </c>
      <c r="L27" s="5">
        <v>10</v>
      </c>
      <c r="M27" s="212">
        <f>+K27*L27</f>
        <v>1000</v>
      </c>
    </row>
    <row r="28" spans="1:21" x14ac:dyDescent="0.35">
      <c r="A28" t="s">
        <v>235</v>
      </c>
      <c r="B28" s="122">
        <v>15</v>
      </c>
      <c r="C28" s="5">
        <v>56</v>
      </c>
      <c r="E28" s="212">
        <f>+B28*C28+10</f>
        <v>850</v>
      </c>
      <c r="F28" s="122">
        <v>15</v>
      </c>
      <c r="G28" s="5">
        <v>56</v>
      </c>
      <c r="H28" s="5"/>
      <c r="I28" s="212">
        <f>+F28*G28+10</f>
        <v>850</v>
      </c>
      <c r="J28" s="122">
        <v>15</v>
      </c>
      <c r="K28" s="5">
        <v>56</v>
      </c>
      <c r="L28" s="5"/>
      <c r="M28" s="212">
        <f>+J28*K28+10</f>
        <v>850</v>
      </c>
    </row>
    <row r="29" spans="1:21" x14ac:dyDescent="0.35">
      <c r="E29" s="212"/>
    </row>
    <row r="30" spans="1:21" x14ac:dyDescent="0.35">
      <c r="E30" s="212"/>
    </row>
    <row r="31" spans="1:21" s="104" customFormat="1" x14ac:dyDescent="0.35">
      <c r="A31" s="270" t="s">
        <v>236</v>
      </c>
      <c r="B31" s="272" t="s">
        <v>229</v>
      </c>
      <c r="C31" s="273" t="s">
        <v>230</v>
      </c>
      <c r="D31" s="273" t="s">
        <v>231</v>
      </c>
      <c r="E31" s="215" t="s">
        <v>49</v>
      </c>
      <c r="F31" s="272" t="s">
        <v>229</v>
      </c>
      <c r="G31" s="273" t="s">
        <v>230</v>
      </c>
      <c r="H31" s="273" t="s">
        <v>231</v>
      </c>
      <c r="I31" s="215" t="s">
        <v>49</v>
      </c>
      <c r="J31" s="272" t="s">
        <v>229</v>
      </c>
      <c r="K31" s="273" t="s">
        <v>230</v>
      </c>
      <c r="L31" s="273" t="s">
        <v>231</v>
      </c>
      <c r="M31" s="215" t="s">
        <v>49</v>
      </c>
      <c r="N31" s="272" t="s">
        <v>229</v>
      </c>
      <c r="O31" s="273" t="s">
        <v>230</v>
      </c>
      <c r="P31" s="273" t="s">
        <v>231</v>
      </c>
      <c r="Q31" s="215" t="s">
        <v>49</v>
      </c>
      <c r="R31" s="272" t="s">
        <v>229</v>
      </c>
      <c r="S31" s="273" t="s">
        <v>230</v>
      </c>
      <c r="T31" s="273" t="s">
        <v>231</v>
      </c>
      <c r="U31" s="215" t="s">
        <v>49</v>
      </c>
    </row>
    <row r="32" spans="1:21" s="104" customFormat="1" x14ac:dyDescent="0.35">
      <c r="A32" s="270" t="s">
        <v>237</v>
      </c>
      <c r="B32" s="272"/>
      <c r="C32" s="273"/>
      <c r="D32" s="273"/>
      <c r="E32" s="268">
        <f>SUM(E33:E37)</f>
        <v>2400</v>
      </c>
      <c r="F32" s="274"/>
      <c r="I32" s="268">
        <f>SUM(I33:I37)</f>
        <v>2400</v>
      </c>
      <c r="J32" s="274"/>
      <c r="M32" s="268">
        <f>SUM(M33:M37)</f>
        <v>2400</v>
      </c>
      <c r="N32" s="274"/>
      <c r="Q32" s="268">
        <f>SUM(Q33:Q37)</f>
        <v>0</v>
      </c>
      <c r="R32" s="274"/>
      <c r="U32" s="268">
        <f>SUM(U33:U37)</f>
        <v>0</v>
      </c>
    </row>
    <row r="33" spans="1:21" x14ac:dyDescent="0.35">
      <c r="A33" t="s">
        <v>238</v>
      </c>
      <c r="B33" s="122">
        <v>2</v>
      </c>
      <c r="C33" s="5">
        <v>400</v>
      </c>
      <c r="E33" s="212">
        <f>+B33*C33</f>
        <v>800</v>
      </c>
      <c r="F33" s="122">
        <v>2</v>
      </c>
      <c r="G33" s="5">
        <v>400</v>
      </c>
      <c r="H33" s="5"/>
      <c r="I33" s="212">
        <f>+F33*G33</f>
        <v>800</v>
      </c>
      <c r="J33" s="122">
        <v>2</v>
      </c>
      <c r="K33" s="5">
        <v>400</v>
      </c>
      <c r="L33" s="5"/>
      <c r="M33" s="212">
        <f>+J33*K33</f>
        <v>800</v>
      </c>
    </row>
    <row r="34" spans="1:21" x14ac:dyDescent="0.35">
      <c r="A34" t="s">
        <v>239</v>
      </c>
      <c r="B34" s="122">
        <v>2</v>
      </c>
      <c r="C34" s="5">
        <v>125</v>
      </c>
      <c r="D34" s="5">
        <v>2</v>
      </c>
      <c r="E34" s="212">
        <f>+B34*C34*D34</f>
        <v>500</v>
      </c>
      <c r="F34" s="122">
        <v>2</v>
      </c>
      <c r="G34" s="5">
        <v>125</v>
      </c>
      <c r="H34" s="5">
        <v>2</v>
      </c>
      <c r="I34" s="212">
        <f>+F34*G34*H34</f>
        <v>500</v>
      </c>
      <c r="J34" s="122">
        <v>2</v>
      </c>
      <c r="K34" s="5">
        <v>125</v>
      </c>
      <c r="L34" s="5">
        <v>2</v>
      </c>
      <c r="M34" s="212">
        <f>+J34*K34*L34</f>
        <v>500</v>
      </c>
    </row>
    <row r="35" spans="1:21" x14ac:dyDescent="0.35">
      <c r="A35" t="s">
        <v>240</v>
      </c>
      <c r="B35" s="122">
        <v>2</v>
      </c>
      <c r="C35" s="5">
        <f>3*32</f>
        <v>96</v>
      </c>
      <c r="E35" s="212">
        <f>+B35*C35</f>
        <v>192</v>
      </c>
      <c r="F35" s="122">
        <v>2</v>
      </c>
      <c r="G35" s="5">
        <f>3*32</f>
        <v>96</v>
      </c>
      <c r="H35" s="5"/>
      <c r="I35" s="212">
        <f>+F35*G35</f>
        <v>192</v>
      </c>
      <c r="J35" s="122">
        <v>2</v>
      </c>
      <c r="K35" s="5">
        <f>3*32</f>
        <v>96</v>
      </c>
      <c r="L35" s="5"/>
      <c r="M35" s="212">
        <f>+J35*K35</f>
        <v>192</v>
      </c>
    </row>
    <row r="36" spans="1:21" x14ac:dyDescent="0.35">
      <c r="A36" t="s">
        <v>241</v>
      </c>
      <c r="B36" s="122">
        <v>2</v>
      </c>
      <c r="C36" s="5">
        <v>400</v>
      </c>
      <c r="E36" s="212">
        <f>+B36*C36</f>
        <v>800</v>
      </c>
      <c r="F36" s="122">
        <v>2</v>
      </c>
      <c r="G36" s="5">
        <v>400</v>
      </c>
      <c r="H36" s="5"/>
      <c r="I36" s="212">
        <f>+F36*G36</f>
        <v>800</v>
      </c>
      <c r="J36" s="122">
        <v>2</v>
      </c>
      <c r="K36" s="5">
        <v>400</v>
      </c>
      <c r="L36" s="5"/>
      <c r="M36" s="212">
        <f>+J36*K36</f>
        <v>800</v>
      </c>
    </row>
    <row r="37" spans="1:21" x14ac:dyDescent="0.35">
      <c r="A37" t="s">
        <v>242</v>
      </c>
      <c r="B37" s="122">
        <v>2</v>
      </c>
      <c r="C37" s="5">
        <v>54</v>
      </c>
      <c r="E37" s="212">
        <f>+B37*C37</f>
        <v>108</v>
      </c>
      <c r="F37" s="122">
        <v>2</v>
      </c>
      <c r="G37" s="5">
        <v>54</v>
      </c>
      <c r="H37" s="5"/>
      <c r="I37" s="212">
        <f>+F37*G37</f>
        <v>108</v>
      </c>
      <c r="J37" s="122">
        <v>2</v>
      </c>
      <c r="K37" s="5">
        <v>54</v>
      </c>
      <c r="L37" s="5"/>
      <c r="M37" s="212">
        <f>+J37*K37</f>
        <v>108</v>
      </c>
    </row>
    <row r="38" spans="1:21" x14ac:dyDescent="0.35">
      <c r="E38" s="212"/>
    </row>
    <row r="39" spans="1:21" s="104" customFormat="1" hidden="1" x14ac:dyDescent="0.35">
      <c r="B39" s="272" t="s">
        <v>229</v>
      </c>
      <c r="C39" s="273" t="s">
        <v>230</v>
      </c>
      <c r="D39" s="273" t="s">
        <v>231</v>
      </c>
      <c r="E39" s="215" t="s">
        <v>49</v>
      </c>
      <c r="F39" s="272" t="s">
        <v>229</v>
      </c>
      <c r="G39" s="273" t="s">
        <v>230</v>
      </c>
      <c r="H39" s="273" t="s">
        <v>231</v>
      </c>
      <c r="I39" s="215" t="s">
        <v>49</v>
      </c>
      <c r="J39" s="272" t="s">
        <v>229</v>
      </c>
      <c r="K39" s="273" t="s">
        <v>230</v>
      </c>
      <c r="L39" s="273" t="s">
        <v>231</v>
      </c>
      <c r="M39" s="215" t="s">
        <v>49</v>
      </c>
      <c r="N39" s="272" t="s">
        <v>229</v>
      </c>
      <c r="O39" s="273" t="s">
        <v>230</v>
      </c>
      <c r="P39" s="273" t="s">
        <v>231</v>
      </c>
      <c r="Q39" s="215" t="s">
        <v>49</v>
      </c>
      <c r="R39" s="272" t="s">
        <v>229</v>
      </c>
      <c r="S39" s="273" t="s">
        <v>230</v>
      </c>
      <c r="T39" s="273" t="s">
        <v>231</v>
      </c>
      <c r="U39" s="215" t="s">
        <v>49</v>
      </c>
    </row>
    <row r="40" spans="1:21" s="104" customFormat="1" hidden="1" x14ac:dyDescent="0.35">
      <c r="A40" s="270"/>
      <c r="B40" s="272"/>
      <c r="C40" s="273"/>
      <c r="D40" s="273"/>
      <c r="E40" s="268">
        <f>SUM(E41:E45)</f>
        <v>0</v>
      </c>
      <c r="F40" s="272"/>
      <c r="G40" s="273"/>
      <c r="H40" s="273"/>
      <c r="I40" s="268">
        <f>SUM(I41:I45)</f>
        <v>0</v>
      </c>
      <c r="J40" s="272"/>
      <c r="K40" s="273"/>
      <c r="L40" s="273"/>
      <c r="M40" s="268">
        <f>SUM(M41:M45)</f>
        <v>0</v>
      </c>
      <c r="N40" s="272"/>
      <c r="O40" s="273"/>
      <c r="P40" s="273"/>
      <c r="Q40" s="268">
        <f>SUM(Q41:Q45)</f>
        <v>0</v>
      </c>
      <c r="R40" s="272"/>
      <c r="S40" s="273"/>
      <c r="T40" s="273"/>
      <c r="U40" s="268">
        <f>SUM(U41:U45)</f>
        <v>0</v>
      </c>
    </row>
    <row r="41" spans="1:21" hidden="1" x14ac:dyDescent="0.35">
      <c r="A41" t="s">
        <v>238</v>
      </c>
      <c r="E41" s="212">
        <f>+B41*C41</f>
        <v>0</v>
      </c>
      <c r="F41" s="122"/>
      <c r="G41" s="5"/>
      <c r="H41" s="5"/>
      <c r="I41" s="212">
        <f>+F41*G41</f>
        <v>0</v>
      </c>
      <c r="J41" s="122"/>
      <c r="K41" s="5"/>
      <c r="L41" s="5"/>
      <c r="M41" s="212">
        <f>+J41*K41</f>
        <v>0</v>
      </c>
    </row>
    <row r="42" spans="1:21" hidden="1" x14ac:dyDescent="0.35">
      <c r="A42" t="s">
        <v>239</v>
      </c>
      <c r="E42" s="212">
        <f>+B42*C42*D42</f>
        <v>0</v>
      </c>
      <c r="F42" s="122"/>
      <c r="G42" s="5"/>
      <c r="H42" s="5"/>
      <c r="I42" s="212">
        <f>+F42*G42*H42</f>
        <v>0</v>
      </c>
      <c r="J42" s="122"/>
      <c r="K42" s="5"/>
      <c r="L42" s="5"/>
      <c r="M42" s="212">
        <f>+J42*K42*L42</f>
        <v>0</v>
      </c>
    </row>
    <row r="43" spans="1:21" hidden="1" x14ac:dyDescent="0.35">
      <c r="A43" t="s">
        <v>240</v>
      </c>
      <c r="E43" s="212">
        <f>+B43*C43</f>
        <v>0</v>
      </c>
      <c r="F43" s="122"/>
      <c r="G43" s="5"/>
      <c r="H43" s="5"/>
      <c r="I43" s="212">
        <f>+F43*G43</f>
        <v>0</v>
      </c>
      <c r="J43" s="122"/>
      <c r="K43" s="5"/>
      <c r="L43" s="5"/>
      <c r="M43" s="212">
        <f>+J43*K43</f>
        <v>0</v>
      </c>
    </row>
    <row r="44" spans="1:21" hidden="1" x14ac:dyDescent="0.35">
      <c r="A44" t="s">
        <v>241</v>
      </c>
      <c r="E44" s="212">
        <f>+B44*C44</f>
        <v>0</v>
      </c>
      <c r="F44" s="122"/>
      <c r="G44" s="5"/>
      <c r="H44" s="5"/>
      <c r="I44" s="212">
        <f>+F44*G44</f>
        <v>0</v>
      </c>
      <c r="J44" s="122"/>
      <c r="K44" s="5"/>
      <c r="L44" s="5"/>
      <c r="M44" s="212">
        <f>+J44*K44</f>
        <v>0</v>
      </c>
    </row>
    <row r="45" spans="1:21" hidden="1" x14ac:dyDescent="0.35">
      <c r="A45" t="s">
        <v>242</v>
      </c>
      <c r="E45" s="212">
        <f>+B45*C45</f>
        <v>0</v>
      </c>
      <c r="F45" s="122"/>
      <c r="G45" s="5"/>
      <c r="H45" s="5"/>
      <c r="I45" s="212">
        <f>+F45*G45</f>
        <v>0</v>
      </c>
      <c r="J45" s="122"/>
      <c r="K45" s="5"/>
      <c r="L45" s="5"/>
      <c r="M45" s="212">
        <f>+J45*K45</f>
        <v>0</v>
      </c>
    </row>
    <row r="47" spans="1:21" x14ac:dyDescent="0.35">
      <c r="E47" s="178" t="s">
        <v>49</v>
      </c>
      <c r="I47" s="178" t="s">
        <v>49</v>
      </c>
      <c r="M47" s="178" t="s">
        <v>49</v>
      </c>
      <c r="Q47" s="178" t="s">
        <v>49</v>
      </c>
      <c r="U47" s="178" t="s">
        <v>49</v>
      </c>
    </row>
    <row r="48" spans="1:21" s="313" customFormat="1" x14ac:dyDescent="0.35">
      <c r="A48" s="334" t="s">
        <v>243</v>
      </c>
      <c r="B48" s="329"/>
      <c r="C48" s="330"/>
      <c r="D48" s="330"/>
      <c r="E48" s="335">
        <f>SUM(E49:E52)</f>
        <v>4000</v>
      </c>
      <c r="F48" s="332"/>
      <c r="I48" s="335">
        <f>SUM(I49:I52)</f>
        <v>1000</v>
      </c>
      <c r="J48" s="332"/>
      <c r="M48" s="335">
        <f>SUM(M49:M52)</f>
        <v>1000</v>
      </c>
      <c r="N48" s="332"/>
      <c r="Q48" s="335">
        <f>SUM(Q49:Q52)</f>
        <v>0</v>
      </c>
      <c r="R48" s="332"/>
      <c r="U48" s="335">
        <f>SUM(U49:U52)</f>
        <v>0</v>
      </c>
    </row>
    <row r="49" spans="1:21" s="313" customFormat="1" x14ac:dyDescent="0.35">
      <c r="A49" s="313" t="s">
        <v>244</v>
      </c>
      <c r="B49" s="336"/>
      <c r="C49" s="330"/>
      <c r="D49" s="330"/>
      <c r="E49" s="337">
        <v>1500</v>
      </c>
      <c r="F49" s="332"/>
      <c r="J49" s="332"/>
      <c r="N49" s="332"/>
      <c r="Q49" s="333"/>
      <c r="R49" s="332"/>
      <c r="U49" s="333"/>
    </row>
    <row r="50" spans="1:21" s="313" customFormat="1" x14ac:dyDescent="0.35">
      <c r="A50" s="313" t="s">
        <v>245</v>
      </c>
      <c r="B50" s="336"/>
      <c r="C50" s="330"/>
      <c r="D50" s="330"/>
      <c r="E50" s="337">
        <v>1000</v>
      </c>
      <c r="F50" s="332"/>
      <c r="I50" s="313">
        <v>1000</v>
      </c>
      <c r="J50" s="332"/>
      <c r="M50" s="313">
        <v>1000</v>
      </c>
      <c r="N50" s="332"/>
      <c r="Q50" s="333"/>
      <c r="R50" s="332"/>
      <c r="U50" s="333"/>
    </row>
    <row r="51" spans="1:21" s="313" customFormat="1" x14ac:dyDescent="0.35">
      <c r="A51" s="313" t="s">
        <v>246</v>
      </c>
      <c r="B51" s="329"/>
      <c r="C51" s="330"/>
      <c r="D51" s="330"/>
      <c r="E51" s="337">
        <v>1500</v>
      </c>
      <c r="F51" s="332"/>
      <c r="J51" s="332"/>
      <c r="N51" s="332"/>
      <c r="Q51" s="333"/>
      <c r="R51" s="332"/>
      <c r="U51" s="333"/>
    </row>
    <row r="52" spans="1:21" x14ac:dyDescent="0.35">
      <c r="E52" s="212"/>
      <c r="I52"/>
      <c r="M52"/>
    </row>
    <row r="53" spans="1:21" x14ac:dyDescent="0.35">
      <c r="E53" s="178" t="s">
        <v>49</v>
      </c>
      <c r="I53" s="178" t="s">
        <v>49</v>
      </c>
      <c r="M53" s="178" t="s">
        <v>49</v>
      </c>
      <c r="Q53" s="178" t="s">
        <v>49</v>
      </c>
      <c r="U53" s="178" t="s">
        <v>49</v>
      </c>
    </row>
    <row r="54" spans="1:21" x14ac:dyDescent="0.35">
      <c r="A54" s="277" t="s">
        <v>92</v>
      </c>
      <c r="E54" s="214">
        <f>SUM(E55:E57)</f>
        <v>500</v>
      </c>
      <c r="I54" s="214">
        <f>SUM(I55:I57)</f>
        <v>500</v>
      </c>
      <c r="M54" s="214">
        <f>SUM(M55:M57)</f>
        <v>500</v>
      </c>
      <c r="Q54" s="214">
        <f>SUM(Q55:Q57)</f>
        <v>0</v>
      </c>
      <c r="U54" s="214">
        <f>SUM(U55:U57)</f>
        <v>0</v>
      </c>
    </row>
    <row r="55" spans="1:21" x14ac:dyDescent="0.35">
      <c r="A55" t="s">
        <v>247</v>
      </c>
      <c r="E55" s="212">
        <v>500</v>
      </c>
      <c r="I55">
        <v>500</v>
      </c>
      <c r="M55">
        <v>500</v>
      </c>
    </row>
  </sheetData>
  <mergeCells count="5">
    <mergeCell ref="B2:E2"/>
    <mergeCell ref="F2:I2"/>
    <mergeCell ref="J2:M2"/>
    <mergeCell ref="N2:Q2"/>
    <mergeCell ref="R2:U2"/>
  </mergeCells>
  <pageMargins left="0.17" right="0.17" top="0.33" bottom="0.31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U110"/>
  <sheetViews>
    <sheetView topLeftCell="A33" workbookViewId="0">
      <selection activeCell="E26" sqref="E26"/>
    </sheetView>
  </sheetViews>
  <sheetFormatPr defaultRowHeight="14.5" x14ac:dyDescent="0.35"/>
  <cols>
    <col min="1" max="1" width="33.453125" customWidth="1"/>
    <col min="2" max="2" width="8" style="122" customWidth="1"/>
    <col min="3" max="4" width="8.7265625" style="5" customWidth="1"/>
    <col min="5" max="5" width="8.453125" style="178" customWidth="1"/>
    <col min="6" max="6" width="7.81640625" style="211" customWidth="1"/>
    <col min="7" max="8" width="8.7265625" customWidth="1"/>
    <col min="9" max="9" width="8.26953125" style="4" customWidth="1"/>
    <col min="10" max="10" width="7.453125" style="211" customWidth="1"/>
    <col min="11" max="12" width="8.7265625" customWidth="1"/>
    <col min="13" max="13" width="8.54296875" style="4" customWidth="1"/>
    <col min="14" max="14" width="8.1796875" style="211" customWidth="1"/>
    <col min="17" max="17" width="8.54296875" style="4" customWidth="1"/>
    <col min="18" max="18" width="8.26953125" style="211" customWidth="1"/>
    <col min="21" max="21" width="8.54296875" style="4" customWidth="1"/>
  </cols>
  <sheetData>
    <row r="1" spans="1:21" x14ac:dyDescent="0.35">
      <c r="A1" s="4" t="s">
        <v>202</v>
      </c>
    </row>
    <row r="2" spans="1:21" x14ac:dyDescent="0.35">
      <c r="A2" s="4" t="s">
        <v>203</v>
      </c>
      <c r="B2" s="602" t="s">
        <v>204</v>
      </c>
      <c r="C2" s="593"/>
      <c r="D2" s="593"/>
      <c r="E2" s="603"/>
      <c r="F2" s="602" t="s">
        <v>205</v>
      </c>
      <c r="G2" s="593"/>
      <c r="H2" s="593"/>
      <c r="I2" s="593"/>
      <c r="J2" s="602" t="s">
        <v>206</v>
      </c>
      <c r="K2" s="593"/>
      <c r="L2" s="593"/>
      <c r="M2" s="593"/>
      <c r="N2" s="602" t="s">
        <v>207</v>
      </c>
      <c r="O2" s="593"/>
      <c r="P2" s="593"/>
      <c r="Q2" s="603"/>
      <c r="R2" s="602" t="s">
        <v>208</v>
      </c>
      <c r="S2" s="593"/>
      <c r="T2" s="593"/>
      <c r="U2" s="593"/>
    </row>
    <row r="3" spans="1:21" x14ac:dyDescent="0.35">
      <c r="A3" s="216" t="s">
        <v>106</v>
      </c>
      <c r="B3" s="126"/>
      <c r="C3" s="100"/>
      <c r="D3" s="100"/>
      <c r="E3" s="100"/>
    </row>
    <row r="4" spans="1:21" x14ac:dyDescent="0.35">
      <c r="B4" s="126"/>
      <c r="C4" s="100"/>
      <c r="D4" s="100"/>
      <c r="E4" s="178" t="s">
        <v>49</v>
      </c>
      <c r="I4" s="178" t="s">
        <v>49</v>
      </c>
      <c r="M4" s="178" t="s">
        <v>49</v>
      </c>
      <c r="Q4" s="178" t="s">
        <v>49</v>
      </c>
      <c r="U4" s="178" t="s">
        <v>49</v>
      </c>
    </row>
    <row r="5" spans="1:21" ht="19.5" customHeight="1" x14ac:dyDescent="0.35">
      <c r="A5" s="277" t="s">
        <v>209</v>
      </c>
      <c r="B5" s="275" t="s">
        <v>1</v>
      </c>
      <c r="C5" s="276" t="s">
        <v>7</v>
      </c>
      <c r="D5" s="276" t="s">
        <v>9</v>
      </c>
      <c r="E5" s="214">
        <f>SUM(E6:E9)</f>
        <v>0</v>
      </c>
      <c r="F5" s="275" t="s">
        <v>1</v>
      </c>
      <c r="G5" s="276" t="s">
        <v>7</v>
      </c>
      <c r="H5" s="276" t="s">
        <v>9</v>
      </c>
      <c r="I5" s="214">
        <f>SUM(I6:I9)</f>
        <v>0</v>
      </c>
      <c r="J5" s="275" t="s">
        <v>1</v>
      </c>
      <c r="K5" s="276" t="s">
        <v>7</v>
      </c>
      <c r="L5" s="276" t="s">
        <v>9</v>
      </c>
      <c r="M5" s="214">
        <f>SUM(M6:M9)</f>
        <v>0</v>
      </c>
      <c r="N5" s="275" t="s">
        <v>1</v>
      </c>
      <c r="O5" s="276" t="s">
        <v>7</v>
      </c>
      <c r="P5" s="276" t="s">
        <v>9</v>
      </c>
      <c r="Q5" s="214">
        <f>SUM(Q6:Q9)</f>
        <v>0</v>
      </c>
      <c r="R5" s="275" t="s">
        <v>1</v>
      </c>
      <c r="S5" s="276" t="s">
        <v>7</v>
      </c>
      <c r="T5" s="276" t="s">
        <v>9</v>
      </c>
      <c r="U5" s="214">
        <f>SUM(U6:U9)</f>
        <v>0</v>
      </c>
    </row>
    <row r="6" spans="1:21" x14ac:dyDescent="0.35">
      <c r="A6" t="s">
        <v>248</v>
      </c>
      <c r="E6" s="178">
        <v>0</v>
      </c>
      <c r="F6" s="122"/>
      <c r="G6" s="5"/>
      <c r="I6" s="178">
        <v>0</v>
      </c>
      <c r="J6" s="122"/>
      <c r="K6" s="5"/>
      <c r="M6" s="178">
        <v>0</v>
      </c>
      <c r="N6" s="122"/>
      <c r="O6" s="5"/>
      <c r="Q6" s="178">
        <v>0</v>
      </c>
      <c r="R6" s="122"/>
      <c r="S6" s="5"/>
      <c r="U6" s="178">
        <v>0</v>
      </c>
    </row>
    <row r="7" spans="1:21" x14ac:dyDescent="0.35">
      <c r="A7" t="s">
        <v>249</v>
      </c>
      <c r="E7" s="178">
        <v>0</v>
      </c>
      <c r="F7" s="122"/>
      <c r="G7" s="5"/>
      <c r="H7" s="5"/>
      <c r="I7" s="178">
        <v>0</v>
      </c>
      <c r="J7" s="122"/>
      <c r="K7" s="5"/>
      <c r="L7" s="5"/>
      <c r="M7" s="178">
        <v>0</v>
      </c>
      <c r="N7" s="122"/>
      <c r="O7" s="5"/>
      <c r="Q7" s="178">
        <v>0</v>
      </c>
      <c r="R7" s="122"/>
      <c r="S7" s="5"/>
      <c r="U7" s="178">
        <v>0</v>
      </c>
    </row>
    <row r="8" spans="1:21" x14ac:dyDescent="0.35">
      <c r="A8" t="s">
        <v>250</v>
      </c>
      <c r="E8" s="178">
        <v>0</v>
      </c>
      <c r="F8" s="122"/>
      <c r="G8" s="5"/>
      <c r="H8" s="5"/>
      <c r="I8" s="178">
        <v>0</v>
      </c>
      <c r="J8" s="122"/>
      <c r="K8" s="5"/>
      <c r="L8" s="5"/>
      <c r="M8" s="178">
        <v>0</v>
      </c>
      <c r="N8" s="122"/>
      <c r="O8" s="5"/>
      <c r="Q8" s="178">
        <v>0</v>
      </c>
      <c r="R8" s="122"/>
      <c r="S8" s="5"/>
      <c r="U8" s="178">
        <v>0</v>
      </c>
    </row>
    <row r="9" spans="1:21" x14ac:dyDescent="0.35">
      <c r="F9" s="122"/>
      <c r="G9" s="5"/>
      <c r="H9" s="5"/>
      <c r="I9" s="178"/>
      <c r="J9" s="122"/>
      <c r="K9" s="5"/>
      <c r="L9" s="5"/>
      <c r="M9" s="178"/>
      <c r="Q9" s="178"/>
      <c r="U9" s="178"/>
    </row>
    <row r="10" spans="1:21" x14ac:dyDescent="0.35">
      <c r="A10" s="277" t="s">
        <v>243</v>
      </c>
      <c r="E10" s="214">
        <f>SUM(E11:E14)</f>
        <v>3300</v>
      </c>
      <c r="I10" s="214">
        <f>SUM(I11:I14)</f>
        <v>0</v>
      </c>
      <c r="M10" s="214">
        <f>SUM(M11:M14)</f>
        <v>0</v>
      </c>
      <c r="Q10" s="214">
        <f>SUM(Q11:Q14)</f>
        <v>0</v>
      </c>
      <c r="U10" s="214">
        <f>SUM(U11:U14)</f>
        <v>0</v>
      </c>
    </row>
    <row r="11" spans="1:21" s="313" customFormat="1" x14ac:dyDescent="0.35">
      <c r="A11" s="313" t="s">
        <v>251</v>
      </c>
      <c r="B11" s="329"/>
      <c r="C11" s="330"/>
      <c r="D11" s="330"/>
      <c r="E11" s="331">
        <v>1000</v>
      </c>
      <c r="F11" s="332"/>
      <c r="I11" s="333"/>
      <c r="J11" s="332"/>
      <c r="M11" s="333"/>
      <c r="N11" s="332"/>
      <c r="Q11" s="333"/>
      <c r="R11" s="332"/>
      <c r="U11" s="333"/>
    </row>
    <row r="12" spans="1:21" s="313" customFormat="1" hidden="1" x14ac:dyDescent="0.35">
      <c r="B12" s="329"/>
      <c r="C12" s="330"/>
      <c r="D12" s="330"/>
      <c r="E12" s="331">
        <v>0</v>
      </c>
      <c r="F12" s="332"/>
      <c r="I12" s="333"/>
      <c r="J12" s="332"/>
      <c r="M12" s="333"/>
      <c r="N12" s="332"/>
      <c r="Q12" s="333"/>
      <c r="R12" s="332"/>
      <c r="U12" s="333"/>
    </row>
    <row r="13" spans="1:21" s="46" customFormat="1" x14ac:dyDescent="0.35">
      <c r="A13" s="46" t="s">
        <v>252</v>
      </c>
      <c r="B13" s="222"/>
      <c r="C13" s="47"/>
      <c r="D13" s="47"/>
      <c r="E13" s="223">
        <v>0</v>
      </c>
      <c r="F13" s="224"/>
      <c r="I13" s="116"/>
      <c r="J13" s="224"/>
      <c r="M13" s="116"/>
      <c r="N13" s="224"/>
      <c r="Q13" s="116"/>
      <c r="R13" s="224"/>
      <c r="U13" s="116"/>
    </row>
    <row r="14" spans="1:21" s="313" customFormat="1" x14ac:dyDescent="0.35">
      <c r="A14" s="313" t="s">
        <v>253</v>
      </c>
      <c r="B14" s="329">
        <v>1000</v>
      </c>
      <c r="C14" s="330">
        <v>2.2999999999999998</v>
      </c>
      <c r="D14" s="330"/>
      <c r="E14" s="331">
        <f>+B14*C14</f>
        <v>2300</v>
      </c>
      <c r="F14" s="332"/>
      <c r="I14" s="333"/>
      <c r="J14" s="332"/>
      <c r="M14" s="333"/>
      <c r="N14" s="332"/>
      <c r="Q14" s="333"/>
      <c r="R14" s="332"/>
      <c r="U14" s="333"/>
    </row>
    <row r="15" spans="1:21" x14ac:dyDescent="0.35">
      <c r="F15" s="122"/>
      <c r="G15" s="5"/>
      <c r="H15" s="5"/>
      <c r="I15" s="178"/>
      <c r="J15" s="122"/>
      <c r="K15" s="5"/>
      <c r="L15" s="5"/>
      <c r="M15" s="178"/>
      <c r="Q15" s="178"/>
      <c r="U15" s="178"/>
    </row>
    <row r="16" spans="1:21" x14ac:dyDescent="0.35">
      <c r="B16" s="122" t="s">
        <v>213</v>
      </c>
      <c r="C16"/>
      <c r="D16" s="5" t="s">
        <v>214</v>
      </c>
      <c r="F16" s="122" t="s">
        <v>213</v>
      </c>
      <c r="H16" s="5" t="s">
        <v>214</v>
      </c>
      <c r="I16" s="178"/>
      <c r="J16" s="122" t="s">
        <v>213</v>
      </c>
      <c r="L16" s="5" t="s">
        <v>214</v>
      </c>
      <c r="M16" s="178"/>
      <c r="N16" s="122" t="s">
        <v>213</v>
      </c>
      <c r="P16" s="5" t="s">
        <v>214</v>
      </c>
      <c r="Q16" s="178"/>
      <c r="R16" s="122" t="s">
        <v>213</v>
      </c>
      <c r="T16" s="5" t="s">
        <v>214</v>
      </c>
      <c r="U16" s="178"/>
    </row>
    <row r="17" spans="1:21" x14ac:dyDescent="0.35">
      <c r="B17" s="122" t="s">
        <v>215</v>
      </c>
      <c r="C17" s="5" t="s">
        <v>216</v>
      </c>
      <c r="D17" s="5" t="s">
        <v>217</v>
      </c>
      <c r="E17" s="178" t="s">
        <v>49</v>
      </c>
      <c r="F17" s="122" t="s">
        <v>215</v>
      </c>
      <c r="G17" s="5" t="s">
        <v>216</v>
      </c>
      <c r="H17" s="5" t="s">
        <v>217</v>
      </c>
      <c r="I17" s="178" t="s">
        <v>49</v>
      </c>
      <c r="J17" s="122" t="s">
        <v>215</v>
      </c>
      <c r="K17" s="5" t="s">
        <v>216</v>
      </c>
      <c r="L17" s="5" t="s">
        <v>217</v>
      </c>
      <c r="M17" s="178" t="s">
        <v>49</v>
      </c>
      <c r="N17" s="122" t="s">
        <v>215</v>
      </c>
      <c r="O17" s="5" t="s">
        <v>216</v>
      </c>
      <c r="P17" s="5" t="s">
        <v>217</v>
      </c>
      <c r="Q17" s="178" t="s">
        <v>49</v>
      </c>
      <c r="R17" s="122" t="s">
        <v>215</v>
      </c>
      <c r="S17" s="5" t="s">
        <v>216</v>
      </c>
      <c r="T17" s="5" t="s">
        <v>217</v>
      </c>
      <c r="U17" s="178" t="s">
        <v>49</v>
      </c>
    </row>
    <row r="18" spans="1:21" x14ac:dyDescent="0.35">
      <c r="A18" s="277" t="s">
        <v>218</v>
      </c>
      <c r="E18" s="214">
        <f>+E19+E22</f>
        <v>700</v>
      </c>
      <c r="F18" s="122"/>
      <c r="G18" s="5"/>
      <c r="H18" s="5"/>
      <c r="I18" s="214">
        <f>+I19+I22</f>
        <v>700</v>
      </c>
      <c r="J18" s="122"/>
      <c r="K18" s="5"/>
      <c r="L18" s="5"/>
      <c r="M18" s="214">
        <f>+M19+M22</f>
        <v>700</v>
      </c>
      <c r="Q18" s="214">
        <f>+Q19+Q22</f>
        <v>0</v>
      </c>
      <c r="U18" s="214">
        <f>+U19+U22</f>
        <v>0</v>
      </c>
    </row>
    <row r="19" spans="1:21" x14ac:dyDescent="0.35">
      <c r="A19" s="270" t="s">
        <v>219</v>
      </c>
      <c r="E19" s="268">
        <f>SUM(E20:E25)</f>
        <v>700</v>
      </c>
      <c r="F19" s="122"/>
      <c r="G19" s="5"/>
      <c r="H19" s="5"/>
      <c r="I19" s="268">
        <f>SUM(I20:I25)</f>
        <v>700</v>
      </c>
      <c r="J19" s="122"/>
      <c r="K19" s="5"/>
      <c r="L19" s="5"/>
      <c r="M19" s="268">
        <f>SUM(M20:M25)</f>
        <v>700</v>
      </c>
      <c r="Q19" s="268">
        <f>SUM(Q20:Q25)</f>
        <v>0</v>
      </c>
      <c r="U19" s="268">
        <f>SUM(U20:U25)</f>
        <v>0</v>
      </c>
    </row>
    <row r="20" spans="1:21" x14ac:dyDescent="0.35">
      <c r="A20" t="s">
        <v>254</v>
      </c>
      <c r="B20" s="122">
        <v>10</v>
      </c>
      <c r="C20" s="5">
        <v>12</v>
      </c>
      <c r="D20" s="5">
        <v>6</v>
      </c>
      <c r="E20" s="178">
        <f>+B20*C20*D20-20</f>
        <v>700</v>
      </c>
      <c r="F20" s="122">
        <v>10</v>
      </c>
      <c r="G20" s="5">
        <v>12</v>
      </c>
      <c r="H20" s="5">
        <v>6</v>
      </c>
      <c r="I20" s="178">
        <f>+F20*G20*H20-20</f>
        <v>700</v>
      </c>
      <c r="J20" s="122">
        <v>10</v>
      </c>
      <c r="K20" s="5">
        <v>12</v>
      </c>
      <c r="L20" s="5">
        <v>6</v>
      </c>
      <c r="M20" s="178">
        <f>+J20*K20*L20-20</f>
        <v>700</v>
      </c>
      <c r="N20" s="122"/>
      <c r="O20" s="5"/>
      <c r="P20" s="5"/>
      <c r="Q20" s="178">
        <f>+N20*O20*P20</f>
        <v>0</v>
      </c>
      <c r="U20" s="178">
        <f>+R20*S20*T20</f>
        <v>0</v>
      </c>
    </row>
    <row r="21" spans="1:21" x14ac:dyDescent="0.35">
      <c r="A21" s="114"/>
    </row>
    <row r="22" spans="1:21" x14ac:dyDescent="0.35">
      <c r="A22" s="282" t="s">
        <v>255</v>
      </c>
      <c r="E22" s="292">
        <v>0</v>
      </c>
      <c r="I22" s="292">
        <v>0</v>
      </c>
      <c r="M22" s="292">
        <v>0</v>
      </c>
      <c r="Q22" s="292">
        <v>0</v>
      </c>
      <c r="U22" s="292">
        <v>0</v>
      </c>
    </row>
    <row r="23" spans="1:21" x14ac:dyDescent="0.35">
      <c r="A23" s="114"/>
    </row>
    <row r="24" spans="1:21" x14ac:dyDescent="0.35">
      <c r="A24" s="114"/>
    </row>
    <row r="25" spans="1:21" x14ac:dyDescent="0.35">
      <c r="A25" s="114"/>
    </row>
    <row r="26" spans="1:21" x14ac:dyDescent="0.35">
      <c r="A26" s="277" t="s">
        <v>256</v>
      </c>
      <c r="E26" s="214">
        <f>+E27+E29+E31+E35+E40+E44+E50+E57+E62+E67</f>
        <v>44800</v>
      </c>
      <c r="I26" s="214">
        <f>+I27+I29+I31+I35+I40+I44+I50+I57+I62+I67</f>
        <v>36700</v>
      </c>
      <c r="M26" s="214">
        <f>+M27+M29+M31+M35+M40+M44+M50+M57+M62+M67</f>
        <v>19600</v>
      </c>
      <c r="Q26" s="214">
        <f>+Q27+Q29+Q31+Q35+Q40+Q44+Q50+Q57+Q62+Q67</f>
        <v>0</v>
      </c>
      <c r="U26" s="214">
        <f>+U27+U29+U31+U35+U40+U44+U50+U57+U62+U67</f>
        <v>0</v>
      </c>
    </row>
    <row r="27" spans="1:21" s="104" customFormat="1" x14ac:dyDescent="0.35">
      <c r="A27" s="270" t="s">
        <v>257</v>
      </c>
      <c r="B27" s="272"/>
      <c r="C27" s="273"/>
      <c r="D27" s="273"/>
      <c r="E27" s="268">
        <v>20000</v>
      </c>
      <c r="F27" s="274"/>
      <c r="I27" s="268">
        <v>10000</v>
      </c>
      <c r="J27" s="274"/>
      <c r="M27" s="268">
        <v>0</v>
      </c>
      <c r="N27" s="274"/>
      <c r="Q27" s="268">
        <v>0</v>
      </c>
      <c r="R27" s="274"/>
      <c r="U27" s="268">
        <v>0</v>
      </c>
    </row>
    <row r="28" spans="1:21" x14ac:dyDescent="0.35">
      <c r="E28" s="268"/>
    </row>
    <row r="29" spans="1:21" s="327" customFormat="1" x14ac:dyDescent="0.35">
      <c r="A29" s="323"/>
      <c r="B29" s="324"/>
      <c r="C29" s="325"/>
      <c r="D29" s="325"/>
      <c r="E29" s="326"/>
      <c r="F29" s="328"/>
      <c r="I29" s="326"/>
      <c r="J29" s="328"/>
      <c r="M29" s="326"/>
      <c r="N29" s="328"/>
      <c r="Q29" s="326"/>
      <c r="R29" s="328"/>
      <c r="U29" s="326"/>
    </row>
    <row r="30" spans="1:21" s="220" customFormat="1" x14ac:dyDescent="0.35">
      <c r="B30" s="217"/>
      <c r="C30" s="218"/>
      <c r="D30" s="218"/>
      <c r="E30" s="279"/>
      <c r="F30" s="219"/>
      <c r="I30" s="221"/>
      <c r="J30" s="219"/>
      <c r="M30" s="221"/>
      <c r="N30" s="219"/>
      <c r="Q30" s="221"/>
      <c r="R30" s="219"/>
      <c r="U30" s="221"/>
    </row>
    <row r="31" spans="1:21" s="286" customFormat="1" x14ac:dyDescent="0.35">
      <c r="A31" s="283" t="s">
        <v>258</v>
      </c>
      <c r="B31" s="284" t="s">
        <v>229</v>
      </c>
      <c r="C31" s="285" t="s">
        <v>259</v>
      </c>
      <c r="D31" s="285" t="s">
        <v>230</v>
      </c>
      <c r="E31" s="280">
        <f>SUM(E32:E33)</f>
        <v>600</v>
      </c>
      <c r="F31" s="284" t="s">
        <v>229</v>
      </c>
      <c r="G31" s="285" t="s">
        <v>259</v>
      </c>
      <c r="H31" s="285" t="s">
        <v>230</v>
      </c>
      <c r="I31" s="280">
        <f>SUM(I32:I33)</f>
        <v>600</v>
      </c>
      <c r="J31" s="284" t="s">
        <v>229</v>
      </c>
      <c r="K31" s="285" t="s">
        <v>259</v>
      </c>
      <c r="L31" s="285" t="s">
        <v>230</v>
      </c>
      <c r="M31" s="280">
        <f>SUM(M32:M33)</f>
        <v>600</v>
      </c>
      <c r="N31" s="284" t="s">
        <v>229</v>
      </c>
      <c r="O31" s="285" t="s">
        <v>259</v>
      </c>
      <c r="P31" s="285" t="s">
        <v>230</v>
      </c>
      <c r="Q31" s="280">
        <f>SUM(Q32:Q33)</f>
        <v>0</v>
      </c>
      <c r="R31" s="284" t="s">
        <v>229</v>
      </c>
      <c r="S31" s="285" t="s">
        <v>259</v>
      </c>
      <c r="T31" s="285" t="s">
        <v>230</v>
      </c>
      <c r="U31" s="280">
        <f>SUM(U32:U33)</f>
        <v>0</v>
      </c>
    </row>
    <row r="32" spans="1:21" x14ac:dyDescent="0.35">
      <c r="A32" t="s">
        <v>260</v>
      </c>
      <c r="C32" s="5">
        <v>3</v>
      </c>
      <c r="D32" s="5">
        <v>200</v>
      </c>
      <c r="E32" s="178">
        <f>+C32*D32</f>
        <v>600</v>
      </c>
      <c r="F32" s="122"/>
      <c r="G32" s="5">
        <v>3</v>
      </c>
      <c r="H32" s="5">
        <v>200</v>
      </c>
      <c r="I32" s="178">
        <f>+G32*H32</f>
        <v>600</v>
      </c>
      <c r="J32" s="122"/>
      <c r="K32" s="5">
        <v>3</v>
      </c>
      <c r="L32" s="5">
        <v>200</v>
      </c>
      <c r="M32" s="178">
        <f>+K32*L32</f>
        <v>600</v>
      </c>
      <c r="N32" s="122"/>
      <c r="O32" s="5"/>
      <c r="P32" s="5"/>
      <c r="Q32" s="178">
        <f>+O32*P32</f>
        <v>0</v>
      </c>
      <c r="R32" s="122"/>
      <c r="S32" s="5"/>
      <c r="T32" s="5"/>
      <c r="U32" s="178">
        <f>+S32*T32</f>
        <v>0</v>
      </c>
    </row>
    <row r="33" spans="1:21" x14ac:dyDescent="0.35">
      <c r="A33" s="46" t="s">
        <v>261</v>
      </c>
      <c r="B33" s="122">
        <v>0</v>
      </c>
      <c r="C33" s="5">
        <v>0</v>
      </c>
      <c r="D33" s="5">
        <v>0</v>
      </c>
      <c r="E33" s="178">
        <f>+B33*C33*D33</f>
        <v>0</v>
      </c>
      <c r="F33" s="122">
        <v>20</v>
      </c>
      <c r="G33" s="5">
        <v>4</v>
      </c>
      <c r="H33" s="5">
        <v>0</v>
      </c>
      <c r="I33" s="178">
        <f>+F33*G33*H33</f>
        <v>0</v>
      </c>
      <c r="J33" s="122">
        <v>20</v>
      </c>
      <c r="K33" s="5">
        <v>4</v>
      </c>
      <c r="L33" s="5">
        <v>0</v>
      </c>
      <c r="M33" s="178">
        <f>+J33*K33*L33</f>
        <v>0</v>
      </c>
      <c r="N33" s="122"/>
      <c r="O33" s="5"/>
      <c r="P33" s="5"/>
      <c r="Q33" s="178">
        <f>+N33*O33*P33</f>
        <v>0</v>
      </c>
      <c r="R33" s="122"/>
      <c r="S33" s="5"/>
      <c r="T33" s="5"/>
      <c r="U33" s="178">
        <f>+R33*S33*T33</f>
        <v>0</v>
      </c>
    </row>
    <row r="34" spans="1:21" x14ac:dyDescent="0.35">
      <c r="F34" s="122"/>
      <c r="G34" s="5"/>
      <c r="H34" s="5"/>
      <c r="I34" s="178"/>
      <c r="J34" s="122"/>
      <c r="K34" s="5"/>
      <c r="L34" s="5"/>
      <c r="M34" s="178"/>
      <c r="N34" s="122"/>
      <c r="O34" s="5"/>
      <c r="P34" s="5"/>
      <c r="Q34" s="178"/>
      <c r="R34" s="122"/>
      <c r="S34" s="5"/>
      <c r="T34" s="5"/>
      <c r="U34" s="178"/>
    </row>
    <row r="35" spans="1:21" s="104" customFormat="1" hidden="1" x14ac:dyDescent="0.35">
      <c r="A35" s="271"/>
      <c r="B35" s="272" t="s">
        <v>262</v>
      </c>
      <c r="C35" s="273" t="s">
        <v>263</v>
      </c>
      <c r="D35" s="273" t="s">
        <v>264</v>
      </c>
      <c r="E35" s="280">
        <f>SUM(E36:E37)</f>
        <v>0</v>
      </c>
      <c r="F35" s="272" t="s">
        <v>262</v>
      </c>
      <c r="G35" s="273" t="s">
        <v>263</v>
      </c>
      <c r="H35" s="273" t="s">
        <v>264</v>
      </c>
      <c r="I35" s="280">
        <f>SUM(I36:I37)</f>
        <v>0</v>
      </c>
      <c r="J35" s="272" t="s">
        <v>262</v>
      </c>
      <c r="K35" s="273" t="s">
        <v>263</v>
      </c>
      <c r="L35" s="273" t="s">
        <v>264</v>
      </c>
      <c r="M35" s="280">
        <f>SUM(M36:M37)</f>
        <v>0</v>
      </c>
      <c r="N35" s="272" t="s">
        <v>262</v>
      </c>
      <c r="O35" s="273" t="s">
        <v>263</v>
      </c>
      <c r="P35" s="273" t="s">
        <v>264</v>
      </c>
      <c r="Q35" s="280">
        <f>SUM(Q36:Q37)</f>
        <v>0</v>
      </c>
      <c r="R35" s="272" t="s">
        <v>262</v>
      </c>
      <c r="S35" s="273" t="s">
        <v>263</v>
      </c>
      <c r="T35" s="273" t="s">
        <v>264</v>
      </c>
      <c r="U35" s="280">
        <f>SUM(U36:U37)</f>
        <v>0</v>
      </c>
    </row>
    <row r="36" spans="1:21" hidden="1" x14ac:dyDescent="0.35">
      <c r="A36" s="46"/>
      <c r="E36" s="178">
        <f>+B36*C36*D36</f>
        <v>0</v>
      </c>
      <c r="F36" s="122"/>
      <c r="G36" s="5"/>
      <c r="H36" s="5"/>
      <c r="I36" s="178">
        <f>+F36*G36*H36</f>
        <v>0</v>
      </c>
      <c r="J36" s="122"/>
      <c r="K36" s="5"/>
      <c r="L36" s="5"/>
      <c r="M36" s="178">
        <f>+J36*K36*L36</f>
        <v>0</v>
      </c>
      <c r="N36" s="122"/>
      <c r="O36" s="5"/>
      <c r="P36" s="5"/>
      <c r="Q36" s="178">
        <f>+N36*O36*P36</f>
        <v>0</v>
      </c>
      <c r="R36" s="122"/>
      <c r="S36" s="5"/>
      <c r="T36" s="5"/>
      <c r="U36" s="178">
        <f>+R36*S36*T36</f>
        <v>0</v>
      </c>
    </row>
    <row r="37" spans="1:21" hidden="1" x14ac:dyDescent="0.35">
      <c r="A37" s="46"/>
      <c r="E37" s="178">
        <f>+B37*D37</f>
        <v>0</v>
      </c>
      <c r="F37" s="122"/>
      <c r="G37" s="5"/>
      <c r="H37" s="5"/>
      <c r="I37" s="178">
        <f>+F37*H37</f>
        <v>0</v>
      </c>
      <c r="J37" s="122"/>
      <c r="K37" s="5"/>
      <c r="L37" s="5"/>
      <c r="M37" s="178">
        <f>+J37*L37</f>
        <v>0</v>
      </c>
      <c r="N37" s="122"/>
      <c r="O37" s="5"/>
      <c r="P37" s="5"/>
      <c r="Q37" s="178">
        <f>+N37*P37</f>
        <v>0</v>
      </c>
      <c r="R37" s="122"/>
      <c r="S37" s="5"/>
      <c r="T37" s="5"/>
      <c r="U37" s="178">
        <f>+R37*T37</f>
        <v>0</v>
      </c>
    </row>
    <row r="38" spans="1:21" x14ac:dyDescent="0.35">
      <c r="A38" s="46"/>
      <c r="F38" s="122"/>
      <c r="G38" s="5"/>
      <c r="H38" s="5"/>
      <c r="I38" s="178"/>
      <c r="J38" s="122"/>
      <c r="K38" s="5"/>
      <c r="L38" s="5"/>
      <c r="M38" s="178"/>
      <c r="N38" s="122"/>
      <c r="O38" s="5"/>
      <c r="P38" s="5"/>
      <c r="Q38" s="178"/>
      <c r="R38" s="122"/>
      <c r="S38" s="5"/>
      <c r="T38" s="5"/>
      <c r="U38" s="178"/>
    </row>
    <row r="39" spans="1:21" x14ac:dyDescent="0.35">
      <c r="A39" s="46"/>
      <c r="F39" s="122"/>
      <c r="G39" s="5"/>
      <c r="H39" s="5"/>
      <c r="I39" s="178"/>
      <c r="J39" s="122"/>
      <c r="K39" s="5"/>
      <c r="L39" s="5"/>
      <c r="M39" s="178"/>
      <c r="N39" s="122"/>
      <c r="O39" s="5"/>
      <c r="P39" s="5"/>
      <c r="Q39" s="178"/>
      <c r="R39" s="122"/>
      <c r="S39" s="5"/>
      <c r="T39" s="5"/>
      <c r="U39" s="178"/>
    </row>
    <row r="40" spans="1:21" s="104" customFormat="1" x14ac:dyDescent="0.35">
      <c r="A40" s="271" t="s">
        <v>265</v>
      </c>
      <c r="B40" s="272" t="s">
        <v>262</v>
      </c>
      <c r="C40" s="273" t="s">
        <v>263</v>
      </c>
      <c r="D40" s="273" t="s">
        <v>264</v>
      </c>
      <c r="E40" s="280">
        <f>SUM(E41:E42)</f>
        <v>0</v>
      </c>
      <c r="F40" s="272" t="s">
        <v>262</v>
      </c>
      <c r="G40" s="273" t="s">
        <v>263</v>
      </c>
      <c r="H40" s="273" t="s">
        <v>264</v>
      </c>
      <c r="I40" s="280">
        <f>SUM(I41:I42)</f>
        <v>0</v>
      </c>
      <c r="J40" s="272" t="s">
        <v>262</v>
      </c>
      <c r="K40" s="273" t="s">
        <v>263</v>
      </c>
      <c r="L40" s="273" t="s">
        <v>264</v>
      </c>
      <c r="M40" s="280">
        <f>SUM(M41:M42)</f>
        <v>0</v>
      </c>
      <c r="N40" s="272" t="s">
        <v>262</v>
      </c>
      <c r="O40" s="273" t="s">
        <v>263</v>
      </c>
      <c r="P40" s="273" t="s">
        <v>264</v>
      </c>
      <c r="Q40" s="280">
        <f>SUM(Q41:Q42)</f>
        <v>0</v>
      </c>
      <c r="R40" s="272" t="s">
        <v>262</v>
      </c>
      <c r="S40" s="273" t="s">
        <v>263</v>
      </c>
      <c r="T40" s="273" t="s">
        <v>264</v>
      </c>
      <c r="U40" s="280">
        <f>SUM(U41:U42)</f>
        <v>0</v>
      </c>
    </row>
    <row r="41" spans="1:21" x14ac:dyDescent="0.35">
      <c r="A41" s="315" t="s">
        <v>266</v>
      </c>
      <c r="E41" s="178">
        <f>+B41*C41*D41</f>
        <v>0</v>
      </c>
      <c r="F41" s="122"/>
      <c r="G41" s="5"/>
      <c r="H41" s="5"/>
      <c r="I41" s="178">
        <f>+F41*G41*H41</f>
        <v>0</v>
      </c>
      <c r="J41" s="122"/>
      <c r="K41" s="5"/>
      <c r="L41" s="5"/>
      <c r="M41" s="178">
        <f>+J41*K41*L41</f>
        <v>0</v>
      </c>
      <c r="N41" s="122"/>
      <c r="O41" s="5"/>
      <c r="P41" s="5"/>
      <c r="Q41" s="178">
        <f>+N41*O41*P41</f>
        <v>0</v>
      </c>
      <c r="R41" s="122"/>
      <c r="S41" s="5"/>
      <c r="T41" s="5"/>
      <c r="U41" s="178">
        <f>+R41*S41*T41</f>
        <v>0</v>
      </c>
    </row>
    <row r="42" spans="1:21" x14ac:dyDescent="0.35">
      <c r="A42" s="315" t="s">
        <v>267</v>
      </c>
      <c r="E42" s="178">
        <f>+B42*D42</f>
        <v>0</v>
      </c>
      <c r="F42" s="122"/>
      <c r="G42" s="5"/>
      <c r="H42" s="5"/>
      <c r="I42" s="178">
        <f>+F42*H42</f>
        <v>0</v>
      </c>
      <c r="J42" s="122"/>
      <c r="K42" s="5"/>
      <c r="L42" s="5"/>
      <c r="M42" s="178">
        <f>+J42*L42</f>
        <v>0</v>
      </c>
      <c r="N42" s="122"/>
      <c r="O42" s="5"/>
      <c r="P42" s="5"/>
      <c r="Q42" s="178">
        <f>+N42*P42</f>
        <v>0</v>
      </c>
      <c r="R42" s="122"/>
      <c r="S42" s="5"/>
      <c r="T42" s="5"/>
      <c r="U42" s="178">
        <f>+R42*T42</f>
        <v>0</v>
      </c>
    </row>
    <row r="43" spans="1:21" x14ac:dyDescent="0.35">
      <c r="A43" s="46"/>
    </row>
    <row r="44" spans="1:21" s="104" customFormat="1" x14ac:dyDescent="0.35">
      <c r="A44" s="271" t="s">
        <v>268</v>
      </c>
      <c r="B44" s="272"/>
      <c r="C44" s="273" t="s">
        <v>259</v>
      </c>
      <c r="D44" s="273" t="s">
        <v>264</v>
      </c>
      <c r="E44" s="280">
        <f>SUM(E45:E46)</f>
        <v>8000</v>
      </c>
      <c r="F44" s="272"/>
      <c r="G44" s="273" t="s">
        <v>259</v>
      </c>
      <c r="H44" s="273" t="s">
        <v>264</v>
      </c>
      <c r="I44" s="280">
        <f>SUM(I45:I46)</f>
        <v>8000</v>
      </c>
      <c r="J44" s="272"/>
      <c r="K44" s="273" t="s">
        <v>259</v>
      </c>
      <c r="L44" s="273" t="s">
        <v>264</v>
      </c>
      <c r="M44" s="280">
        <f>SUM(M45:M46)</f>
        <v>4000</v>
      </c>
      <c r="N44" s="272"/>
      <c r="O44" s="273" t="s">
        <v>259</v>
      </c>
      <c r="P44" s="273" t="s">
        <v>264</v>
      </c>
      <c r="Q44" s="280">
        <f>SUM(Q45:Q46)</f>
        <v>0</v>
      </c>
      <c r="R44" s="272"/>
      <c r="S44" s="273" t="s">
        <v>259</v>
      </c>
      <c r="T44" s="273" t="s">
        <v>264</v>
      </c>
      <c r="U44" s="280">
        <f>SUM(U45:U46)</f>
        <v>0</v>
      </c>
    </row>
    <row r="45" spans="1:21" x14ac:dyDescent="0.35">
      <c r="A45" s="118" t="s">
        <v>269</v>
      </c>
      <c r="C45" s="5">
        <v>4</v>
      </c>
      <c r="D45" s="5">
        <v>1000</v>
      </c>
      <c r="E45" s="178">
        <f>+C45*D45</f>
        <v>4000</v>
      </c>
      <c r="F45" s="122"/>
      <c r="G45" s="5">
        <v>4</v>
      </c>
      <c r="H45" s="5">
        <v>1000</v>
      </c>
      <c r="I45" s="178">
        <f>+G45*H45</f>
        <v>4000</v>
      </c>
      <c r="J45" s="122"/>
      <c r="K45" s="5">
        <v>2</v>
      </c>
      <c r="L45" s="5">
        <v>1000</v>
      </c>
      <c r="M45" s="178">
        <f>+K45*L45</f>
        <v>2000</v>
      </c>
      <c r="N45" s="122"/>
      <c r="O45" s="5"/>
      <c r="P45" s="5"/>
      <c r="Q45" s="178">
        <f>+O45*P45</f>
        <v>0</v>
      </c>
      <c r="R45" s="122"/>
      <c r="S45" s="5"/>
      <c r="T45" s="5"/>
      <c r="U45" s="178">
        <f>+S45*T45</f>
        <v>0</v>
      </c>
    </row>
    <row r="46" spans="1:21" x14ac:dyDescent="0.35">
      <c r="A46" s="46" t="s">
        <v>270</v>
      </c>
      <c r="C46" s="5">
        <v>4</v>
      </c>
      <c r="D46" s="5">
        <v>1000</v>
      </c>
      <c r="E46" s="178">
        <f>+C46*D46</f>
        <v>4000</v>
      </c>
      <c r="F46" s="122"/>
      <c r="G46" s="5">
        <v>4</v>
      </c>
      <c r="H46" s="5">
        <v>1000</v>
      </c>
      <c r="I46" s="178">
        <f>+G46*H46</f>
        <v>4000</v>
      </c>
      <c r="J46" s="122"/>
      <c r="K46" s="5">
        <v>2</v>
      </c>
      <c r="L46" s="5">
        <v>1000</v>
      </c>
      <c r="M46" s="178">
        <f>+K46*L46</f>
        <v>2000</v>
      </c>
      <c r="N46" s="122"/>
      <c r="O46" s="5"/>
      <c r="P46" s="5"/>
      <c r="Q46" s="178">
        <f>+O46*P46</f>
        <v>0</v>
      </c>
      <c r="R46" s="122"/>
      <c r="S46" s="5"/>
      <c r="T46" s="5"/>
      <c r="U46" s="178">
        <f>+S46*T46</f>
        <v>0</v>
      </c>
    </row>
    <row r="47" spans="1:21" x14ac:dyDescent="0.35">
      <c r="A47" t="s">
        <v>271</v>
      </c>
    </row>
    <row r="48" spans="1:21" x14ac:dyDescent="0.35">
      <c r="A48" s="46" t="s">
        <v>272</v>
      </c>
    </row>
    <row r="49" spans="1:21" x14ac:dyDescent="0.35">
      <c r="A49" s="116"/>
      <c r="F49" s="224"/>
    </row>
    <row r="50" spans="1:21" x14ac:dyDescent="0.35">
      <c r="A50" s="270" t="s">
        <v>273</v>
      </c>
      <c r="B50" s="122" t="s">
        <v>274</v>
      </c>
      <c r="C50" s="5" t="s">
        <v>229</v>
      </c>
      <c r="D50" s="5" t="s">
        <v>264</v>
      </c>
      <c r="E50" s="268">
        <f>SUM(E51:E54)</f>
        <v>0</v>
      </c>
      <c r="F50" s="122" t="s">
        <v>274</v>
      </c>
      <c r="G50" s="5" t="s">
        <v>229</v>
      </c>
      <c r="H50" s="5" t="s">
        <v>264</v>
      </c>
      <c r="I50" s="268">
        <f>SUM(I51:I54)</f>
        <v>7500</v>
      </c>
      <c r="J50" s="122" t="s">
        <v>274</v>
      </c>
      <c r="K50" s="5" t="s">
        <v>229</v>
      </c>
      <c r="L50" s="5" t="s">
        <v>264</v>
      </c>
      <c r="M50" s="268">
        <f>SUM(M51:M54)</f>
        <v>15000</v>
      </c>
      <c r="N50" s="122" t="s">
        <v>274</v>
      </c>
      <c r="O50" s="5" t="s">
        <v>229</v>
      </c>
      <c r="P50" s="5" t="s">
        <v>264</v>
      </c>
      <c r="Q50" s="268">
        <f>SUM(Q51:Q54)</f>
        <v>0</v>
      </c>
      <c r="R50" s="122" t="s">
        <v>274</v>
      </c>
      <c r="S50" s="5" t="s">
        <v>229</v>
      </c>
      <c r="T50" s="5" t="s">
        <v>264</v>
      </c>
      <c r="U50" s="268">
        <f>SUM(U51:U54)</f>
        <v>0</v>
      </c>
    </row>
    <row r="51" spans="1:21" x14ac:dyDescent="0.35">
      <c r="A51" t="s">
        <v>275</v>
      </c>
      <c r="E51" s="178">
        <f>+B51*D51</f>
        <v>0</v>
      </c>
      <c r="F51" s="122">
        <v>1</v>
      </c>
      <c r="G51" s="5"/>
      <c r="H51" s="5">
        <v>7500</v>
      </c>
      <c r="I51" s="178">
        <f>+F51*H51</f>
        <v>7500</v>
      </c>
      <c r="J51" s="122">
        <v>2</v>
      </c>
      <c r="K51" s="5"/>
      <c r="L51" s="5">
        <v>7500</v>
      </c>
      <c r="M51" s="178">
        <f>+J51*L51</f>
        <v>15000</v>
      </c>
      <c r="N51" s="122"/>
      <c r="O51" s="5"/>
      <c r="P51" s="5"/>
      <c r="Q51" s="178">
        <f>+N51*P51</f>
        <v>0</v>
      </c>
      <c r="R51" s="122"/>
      <c r="S51" s="5"/>
      <c r="T51" s="5"/>
      <c r="U51" s="178">
        <f>+R51*T51</f>
        <v>0</v>
      </c>
    </row>
    <row r="52" spans="1:21" x14ac:dyDescent="0.35">
      <c r="A52" s="116" t="s">
        <v>276</v>
      </c>
      <c r="E52" s="223"/>
      <c r="F52" s="122"/>
      <c r="G52" s="5"/>
      <c r="H52" s="5"/>
      <c r="I52" s="223"/>
      <c r="J52" s="122"/>
      <c r="K52" s="5"/>
      <c r="L52" s="5"/>
      <c r="M52" s="223"/>
      <c r="N52" s="122"/>
      <c r="O52" s="5"/>
      <c r="P52" s="5"/>
      <c r="Q52" s="223"/>
      <c r="R52" s="122"/>
      <c r="S52" s="5"/>
      <c r="T52" s="5"/>
      <c r="U52" s="223"/>
    </row>
    <row r="53" spans="1:21" s="46" customFormat="1" x14ac:dyDescent="0.35">
      <c r="A53" s="46" t="s">
        <v>277</v>
      </c>
      <c r="B53" s="222"/>
      <c r="C53" s="47"/>
      <c r="D53" s="47"/>
      <c r="E53" s="223"/>
      <c r="F53" s="222"/>
      <c r="G53" s="47"/>
      <c r="H53" s="47"/>
      <c r="I53" s="223"/>
      <c r="J53" s="222"/>
      <c r="K53" s="47"/>
      <c r="L53" s="47"/>
      <c r="M53" s="223"/>
      <c r="N53" s="222"/>
      <c r="O53" s="47"/>
      <c r="P53" s="47"/>
      <c r="Q53" s="223"/>
      <c r="R53" s="222"/>
      <c r="S53" s="47"/>
      <c r="T53" s="47"/>
      <c r="U53" s="223"/>
    </row>
    <row r="54" spans="1:21" s="46" customFormat="1" x14ac:dyDescent="0.35">
      <c r="A54" s="46" t="s">
        <v>278</v>
      </c>
      <c r="B54" s="222"/>
      <c r="C54" s="47"/>
      <c r="D54" s="47"/>
      <c r="E54" s="223"/>
      <c r="F54" s="222"/>
      <c r="G54" s="47"/>
      <c r="H54" s="47"/>
      <c r="I54" s="223"/>
      <c r="J54" s="222"/>
      <c r="K54" s="47"/>
      <c r="L54" s="47"/>
      <c r="M54" s="223"/>
      <c r="N54" s="222"/>
      <c r="O54" s="47"/>
      <c r="P54" s="47"/>
      <c r="Q54" s="223"/>
      <c r="R54" s="222"/>
      <c r="S54" s="47"/>
      <c r="T54" s="47"/>
      <c r="U54" s="223"/>
    </row>
    <row r="55" spans="1:21" x14ac:dyDescent="0.35">
      <c r="A55" s="46" t="s">
        <v>279</v>
      </c>
      <c r="F55" s="122"/>
      <c r="G55" s="5"/>
      <c r="H55" s="5"/>
      <c r="I55" s="178"/>
      <c r="J55" s="122"/>
      <c r="K55" s="5"/>
      <c r="L55" s="5"/>
      <c r="M55" s="178"/>
      <c r="N55" s="122"/>
      <c r="O55" s="5"/>
      <c r="P55" s="5"/>
      <c r="Q55" s="178"/>
      <c r="R55" s="122"/>
      <c r="S55" s="5"/>
      <c r="T55" s="5"/>
      <c r="U55" s="178"/>
    </row>
    <row r="56" spans="1:21" x14ac:dyDescent="0.35">
      <c r="F56" s="122"/>
      <c r="G56" s="5"/>
      <c r="H56" s="5"/>
      <c r="I56" s="178"/>
      <c r="J56" s="122"/>
      <c r="K56" s="5"/>
      <c r="L56" s="5"/>
      <c r="M56" s="178"/>
      <c r="N56" s="122"/>
      <c r="O56" s="5"/>
      <c r="P56" s="5"/>
      <c r="Q56" s="178"/>
      <c r="R56" s="122"/>
      <c r="S56" s="5"/>
      <c r="T56" s="5"/>
      <c r="U56" s="178"/>
    </row>
    <row r="57" spans="1:21" x14ac:dyDescent="0.35">
      <c r="A57" s="270" t="s">
        <v>280</v>
      </c>
      <c r="B57" s="122" t="s">
        <v>274</v>
      </c>
      <c r="C57" s="5" t="s">
        <v>281</v>
      </c>
      <c r="D57" s="5" t="s">
        <v>264</v>
      </c>
      <c r="E57" s="268">
        <f>SUM(E58:E60)</f>
        <v>5600</v>
      </c>
      <c r="F57" s="122" t="s">
        <v>274</v>
      </c>
      <c r="G57" s="5" t="s">
        <v>281</v>
      </c>
      <c r="H57" s="5" t="s">
        <v>264</v>
      </c>
      <c r="I57" s="268">
        <f>SUM(I58:I60)</f>
        <v>0</v>
      </c>
      <c r="J57" s="122" t="s">
        <v>274</v>
      </c>
      <c r="K57" s="5" t="s">
        <v>281</v>
      </c>
      <c r="L57" s="5" t="s">
        <v>264</v>
      </c>
      <c r="M57" s="268">
        <f>SUM(M58:M60)</f>
        <v>0</v>
      </c>
      <c r="N57" s="122" t="s">
        <v>274</v>
      </c>
      <c r="O57" s="5" t="s">
        <v>281</v>
      </c>
      <c r="P57" s="5" t="s">
        <v>264</v>
      </c>
      <c r="Q57" s="268">
        <f>SUM(Q58:Q60)</f>
        <v>0</v>
      </c>
      <c r="R57" s="122" t="s">
        <v>274</v>
      </c>
      <c r="S57" s="5" t="s">
        <v>281</v>
      </c>
      <c r="T57" s="5" t="s">
        <v>264</v>
      </c>
      <c r="U57" s="268">
        <f>SUM(U58:U60)</f>
        <v>0</v>
      </c>
    </row>
    <row r="58" spans="1:21" x14ac:dyDescent="0.35">
      <c r="A58" t="s">
        <v>282</v>
      </c>
      <c r="B58" s="122">
        <v>2</v>
      </c>
      <c r="D58" s="5">
        <v>2000</v>
      </c>
      <c r="E58" s="178">
        <f>+B58*D58</f>
        <v>4000</v>
      </c>
      <c r="F58" s="122"/>
      <c r="G58" s="5"/>
      <c r="H58" s="5"/>
      <c r="I58" s="178">
        <f>+F58*H58</f>
        <v>0</v>
      </c>
      <c r="J58" s="122"/>
      <c r="K58" s="5"/>
      <c r="L58" s="5"/>
      <c r="M58" s="178">
        <f>+J58*L58</f>
        <v>0</v>
      </c>
      <c r="N58" s="122"/>
      <c r="O58" s="5"/>
      <c r="P58" s="5"/>
      <c r="Q58" s="178">
        <f>+N58*P58</f>
        <v>0</v>
      </c>
      <c r="R58" s="122"/>
      <c r="S58" s="5"/>
      <c r="T58" s="5"/>
      <c r="U58" s="178">
        <f>+R58*T58</f>
        <v>0</v>
      </c>
    </row>
    <row r="59" spans="1:21" x14ac:dyDescent="0.35">
      <c r="A59" t="s">
        <v>283</v>
      </c>
      <c r="B59" s="122">
        <v>4</v>
      </c>
      <c r="C59" s="5">
        <v>2</v>
      </c>
      <c r="D59" s="5">
        <v>200</v>
      </c>
      <c r="E59" s="178">
        <f>+B59*C59*D59</f>
        <v>1600</v>
      </c>
      <c r="F59" s="122"/>
      <c r="G59" s="5"/>
      <c r="H59" s="5"/>
      <c r="I59" s="178">
        <f>+F59*G59*H59</f>
        <v>0</v>
      </c>
      <c r="J59" s="122"/>
      <c r="K59" s="5"/>
      <c r="L59" s="5"/>
      <c r="M59" s="178">
        <f>+J59*K59*L59</f>
        <v>0</v>
      </c>
      <c r="N59" s="122"/>
      <c r="O59" s="5"/>
      <c r="P59" s="5"/>
      <c r="Q59" s="178">
        <f>+N59*O59*P59</f>
        <v>0</v>
      </c>
      <c r="R59" s="122"/>
      <c r="S59" s="5"/>
      <c r="T59" s="5"/>
      <c r="U59" s="178">
        <f>+R59*S59*T59</f>
        <v>0</v>
      </c>
    </row>
    <row r="60" spans="1:21" x14ac:dyDescent="0.35">
      <c r="A60" t="s">
        <v>284</v>
      </c>
      <c r="F60" s="122"/>
      <c r="G60" s="5"/>
      <c r="H60" s="5"/>
      <c r="I60" s="178"/>
      <c r="J60" s="122"/>
      <c r="K60" s="5"/>
      <c r="L60" s="5"/>
      <c r="M60" s="178"/>
      <c r="N60" s="122"/>
      <c r="O60" s="5"/>
      <c r="P60" s="5"/>
      <c r="Q60" s="178"/>
      <c r="R60" s="122"/>
      <c r="S60" s="5"/>
      <c r="T60" s="5"/>
      <c r="U60" s="178"/>
    </row>
    <row r="61" spans="1:21" x14ac:dyDescent="0.35">
      <c r="F61" s="122"/>
      <c r="G61" s="5"/>
      <c r="H61" s="5"/>
      <c r="I61" s="178"/>
      <c r="J61" s="122"/>
      <c r="K61" s="5"/>
      <c r="L61" s="5"/>
      <c r="M61" s="178"/>
      <c r="N61" s="122"/>
      <c r="O61" s="5"/>
      <c r="P61" s="5"/>
      <c r="Q61" s="178"/>
      <c r="R61" s="122"/>
      <c r="S61" s="5"/>
      <c r="T61" s="5"/>
      <c r="U61" s="178"/>
    </row>
    <row r="62" spans="1:21" x14ac:dyDescent="0.35">
      <c r="A62" s="270" t="s">
        <v>285</v>
      </c>
      <c r="B62" s="122" t="s">
        <v>274</v>
      </c>
      <c r="C62" s="5" t="s">
        <v>281</v>
      </c>
      <c r="D62" s="5" t="s">
        <v>264</v>
      </c>
      <c r="E62" s="268">
        <f>SUM(E63:E65)</f>
        <v>10600</v>
      </c>
      <c r="F62" s="122" t="s">
        <v>274</v>
      </c>
      <c r="G62" s="5" t="s">
        <v>281</v>
      </c>
      <c r="H62" s="5" t="s">
        <v>264</v>
      </c>
      <c r="I62" s="268">
        <f>SUM(I63:I65)</f>
        <v>10600</v>
      </c>
      <c r="J62" s="122" t="s">
        <v>274</v>
      </c>
      <c r="K62" s="5" t="s">
        <v>281</v>
      </c>
      <c r="L62" s="5" t="s">
        <v>264</v>
      </c>
      <c r="M62" s="268">
        <f>SUM(M63:M65)</f>
        <v>0</v>
      </c>
      <c r="N62" s="122" t="s">
        <v>274</v>
      </c>
      <c r="O62" s="5" t="s">
        <v>281</v>
      </c>
      <c r="P62" s="5" t="s">
        <v>264</v>
      </c>
      <c r="Q62" s="268">
        <f>SUM(Q63:Q65)</f>
        <v>0</v>
      </c>
      <c r="R62" s="122" t="s">
        <v>274</v>
      </c>
      <c r="S62" s="5" t="s">
        <v>281</v>
      </c>
      <c r="T62" s="5" t="s">
        <v>264</v>
      </c>
      <c r="U62" s="268">
        <f>SUM(U63:U65)</f>
        <v>0</v>
      </c>
    </row>
    <row r="63" spans="1:21" x14ac:dyDescent="0.35">
      <c r="A63" t="s">
        <v>286</v>
      </c>
      <c r="B63" s="122">
        <v>2</v>
      </c>
      <c r="D63" s="5">
        <v>4000</v>
      </c>
      <c r="E63" s="178">
        <f>+B63*D63</f>
        <v>8000</v>
      </c>
      <c r="F63" s="122">
        <v>2</v>
      </c>
      <c r="G63" s="5"/>
      <c r="H63" s="5">
        <v>4000</v>
      </c>
      <c r="I63" s="178">
        <f>+F63*H63</f>
        <v>8000</v>
      </c>
      <c r="J63" s="122"/>
      <c r="K63" s="5"/>
      <c r="L63" s="5"/>
      <c r="M63" s="178">
        <f>+J63*L63</f>
        <v>0</v>
      </c>
      <c r="N63" s="122"/>
      <c r="O63" s="5"/>
      <c r="P63" s="5"/>
      <c r="Q63" s="178">
        <f>+N63*P63</f>
        <v>0</v>
      </c>
      <c r="R63" s="122"/>
      <c r="S63" s="5"/>
      <c r="T63" s="5"/>
      <c r="U63" s="178">
        <f>+R63*T63</f>
        <v>0</v>
      </c>
    </row>
    <row r="64" spans="1:21" x14ac:dyDescent="0.35">
      <c r="A64" t="s">
        <v>287</v>
      </c>
      <c r="B64" s="122">
        <v>4</v>
      </c>
      <c r="C64" s="5">
        <v>2</v>
      </c>
      <c r="D64" s="5">
        <v>200</v>
      </c>
      <c r="E64" s="178">
        <f>+B64*C64*D64</f>
        <v>1600</v>
      </c>
      <c r="F64" s="122">
        <v>4</v>
      </c>
      <c r="G64" s="5">
        <v>2</v>
      </c>
      <c r="H64" s="5">
        <v>200</v>
      </c>
      <c r="I64" s="178">
        <f>+F64*G64*H64</f>
        <v>1600</v>
      </c>
      <c r="J64" s="122"/>
      <c r="K64" s="5"/>
      <c r="L64" s="5"/>
      <c r="M64" s="178">
        <f>+J64*K64*L64</f>
        <v>0</v>
      </c>
      <c r="N64" s="122"/>
      <c r="O64" s="5"/>
      <c r="P64" s="5"/>
      <c r="Q64" s="178">
        <f>+N64*O64*P64</f>
        <v>0</v>
      </c>
      <c r="R64" s="122"/>
      <c r="S64" s="5"/>
      <c r="T64" s="5"/>
      <c r="U64" s="178">
        <f>+R64*S64*T64</f>
        <v>0</v>
      </c>
    </row>
    <row r="65" spans="1:21" s="46" customFormat="1" x14ac:dyDescent="0.35">
      <c r="A65" s="46" t="s">
        <v>288</v>
      </c>
      <c r="B65" s="222">
        <v>2</v>
      </c>
      <c r="C65" s="47"/>
      <c r="D65" s="47">
        <v>500</v>
      </c>
      <c r="E65" s="281">
        <f>+B65*D65</f>
        <v>1000</v>
      </c>
      <c r="F65" s="222">
        <v>2</v>
      </c>
      <c r="G65" s="47"/>
      <c r="H65" s="47">
        <v>500</v>
      </c>
      <c r="I65" s="281">
        <f>+F65*H65</f>
        <v>1000</v>
      </c>
      <c r="J65" s="222"/>
      <c r="K65" s="47"/>
      <c r="L65" s="47"/>
      <c r="M65" s="281">
        <f>+J65*L65</f>
        <v>0</v>
      </c>
      <c r="N65" s="222"/>
      <c r="O65" s="47"/>
      <c r="P65" s="47"/>
      <c r="Q65" s="281">
        <f>+N65*P65</f>
        <v>0</v>
      </c>
      <c r="R65" s="222"/>
      <c r="S65" s="47"/>
      <c r="T65" s="47"/>
      <c r="U65" s="281">
        <f>+R65*T65</f>
        <v>0</v>
      </c>
    </row>
    <row r="66" spans="1:21" x14ac:dyDescent="0.35">
      <c r="A66" s="46"/>
      <c r="F66" s="122"/>
      <c r="G66" s="5"/>
      <c r="H66" s="5"/>
      <c r="I66" s="178"/>
    </row>
    <row r="67" spans="1:21" s="46" customFormat="1" x14ac:dyDescent="0.35">
      <c r="A67" s="271" t="s">
        <v>289</v>
      </c>
      <c r="B67" s="222"/>
      <c r="C67" s="47"/>
      <c r="D67" s="47"/>
      <c r="E67" s="269">
        <v>0</v>
      </c>
      <c r="F67" s="222"/>
      <c r="G67" s="47"/>
      <c r="H67" s="47"/>
      <c r="I67" s="269">
        <v>0</v>
      </c>
      <c r="J67" s="224"/>
      <c r="M67" s="269">
        <v>0</v>
      </c>
      <c r="N67" s="224"/>
      <c r="Q67" s="269">
        <v>0</v>
      </c>
      <c r="R67" s="224"/>
      <c r="U67" s="269">
        <v>0</v>
      </c>
    </row>
    <row r="68" spans="1:21" s="46" customFormat="1" x14ac:dyDescent="0.35">
      <c r="A68" s="116" t="s">
        <v>290</v>
      </c>
      <c r="B68" s="222"/>
      <c r="C68" s="47"/>
      <c r="D68" s="47"/>
      <c r="E68" s="223"/>
      <c r="F68" s="222" t="s">
        <v>291</v>
      </c>
      <c r="G68" s="47" t="s">
        <v>291</v>
      </c>
      <c r="H68" s="47" t="s">
        <v>291</v>
      </c>
      <c r="I68" s="223"/>
      <c r="J68" s="224"/>
      <c r="M68" s="116"/>
      <c r="N68" s="224"/>
      <c r="Q68" s="116"/>
      <c r="R68" s="224"/>
      <c r="U68" s="116"/>
    </row>
    <row r="69" spans="1:21" s="46" customFormat="1" x14ac:dyDescent="0.35">
      <c r="A69" s="116"/>
      <c r="B69" s="222"/>
      <c r="C69" s="47"/>
      <c r="D69" s="47"/>
      <c r="E69" s="223"/>
      <c r="F69" s="222"/>
      <c r="G69" s="47"/>
      <c r="H69" s="47"/>
      <c r="I69" s="223"/>
      <c r="J69" s="224"/>
      <c r="M69" s="116"/>
      <c r="N69" s="224"/>
      <c r="Q69" s="116"/>
      <c r="R69" s="224"/>
      <c r="U69" s="116"/>
    </row>
    <row r="70" spans="1:21" s="46" customFormat="1" x14ac:dyDescent="0.35">
      <c r="A70" s="277" t="s">
        <v>292</v>
      </c>
      <c r="B70" s="278"/>
      <c r="C70" s="47"/>
      <c r="D70" s="47"/>
      <c r="E70" s="291">
        <f>SUM(E71)</f>
        <v>0</v>
      </c>
      <c r="F70" s="222"/>
      <c r="G70" s="47"/>
      <c r="H70" s="47"/>
      <c r="I70" s="291">
        <f>SUM(I71)</f>
        <v>0</v>
      </c>
      <c r="J70" s="224"/>
      <c r="M70" s="291">
        <f>SUM(M71)</f>
        <v>0</v>
      </c>
      <c r="N70" s="224"/>
      <c r="Q70" s="291">
        <f>SUM(Q71)</f>
        <v>0</v>
      </c>
      <c r="R70" s="224"/>
      <c r="U70" s="291">
        <f>SUM(U71)</f>
        <v>0</v>
      </c>
    </row>
    <row r="71" spans="1:21" s="46" customFormat="1" x14ac:dyDescent="0.35">
      <c r="A71" s="116" t="s">
        <v>293</v>
      </c>
      <c r="B71" s="222"/>
      <c r="C71" s="47"/>
      <c r="D71" s="47"/>
      <c r="E71" s="223"/>
      <c r="F71" s="222"/>
      <c r="G71" s="47"/>
      <c r="H71" s="47"/>
      <c r="I71" s="223"/>
      <c r="J71" s="224"/>
      <c r="M71" s="116"/>
      <c r="N71" s="224"/>
      <c r="Q71" s="116"/>
      <c r="R71" s="224"/>
      <c r="U71" s="116"/>
    </row>
    <row r="72" spans="1:21" s="46" customFormat="1" x14ac:dyDescent="0.35">
      <c r="A72" s="116"/>
      <c r="B72" s="222"/>
      <c r="C72" s="47"/>
      <c r="D72" s="47"/>
      <c r="E72" s="223"/>
      <c r="F72" s="222"/>
      <c r="G72" s="47"/>
      <c r="H72" s="47"/>
      <c r="I72" s="223"/>
      <c r="J72" s="224"/>
      <c r="M72" s="116"/>
      <c r="N72" s="224"/>
      <c r="Q72" s="116"/>
      <c r="R72" s="224"/>
      <c r="U72" s="116"/>
    </row>
    <row r="73" spans="1:21" s="46" customFormat="1" x14ac:dyDescent="0.35">
      <c r="A73" s="116"/>
      <c r="B73" s="222"/>
      <c r="C73" s="47"/>
      <c r="D73" s="47"/>
      <c r="E73" s="223"/>
      <c r="F73" s="222"/>
      <c r="G73" s="47"/>
      <c r="H73" s="47"/>
      <c r="I73" s="223"/>
      <c r="J73" s="224"/>
      <c r="M73" s="116"/>
      <c r="N73" s="224"/>
      <c r="Q73" s="116"/>
      <c r="R73" s="224"/>
      <c r="U73" s="116"/>
    </row>
    <row r="74" spans="1:21" s="46" customFormat="1" x14ac:dyDescent="0.35">
      <c r="A74" s="116"/>
      <c r="B74" s="222"/>
      <c r="C74" s="47"/>
      <c r="D74" s="47"/>
      <c r="E74" s="223"/>
      <c r="F74" s="222"/>
      <c r="G74" s="47"/>
      <c r="H74" s="47"/>
      <c r="I74" s="223"/>
      <c r="J74" s="224"/>
      <c r="M74" s="116"/>
      <c r="N74" s="224"/>
      <c r="Q74" s="116"/>
      <c r="R74" s="224"/>
      <c r="U74" s="116"/>
    </row>
    <row r="75" spans="1:21" s="46" customFormat="1" x14ac:dyDescent="0.35">
      <c r="A75" s="116"/>
      <c r="B75" s="222"/>
      <c r="C75" s="47"/>
      <c r="D75" s="47"/>
      <c r="E75" s="223"/>
      <c r="F75" s="222"/>
      <c r="G75" s="47"/>
      <c r="H75" s="47"/>
      <c r="I75" s="223"/>
      <c r="J75" s="224"/>
      <c r="M75" s="116"/>
      <c r="N75" s="224"/>
      <c r="Q75" s="116"/>
      <c r="R75" s="224"/>
      <c r="U75" s="116"/>
    </row>
    <row r="76" spans="1:21" x14ac:dyDescent="0.35">
      <c r="A76" s="277" t="s">
        <v>294</v>
      </c>
      <c r="B76" s="122" t="s">
        <v>274</v>
      </c>
      <c r="C76" s="5" t="s">
        <v>281</v>
      </c>
      <c r="D76" s="5" t="s">
        <v>264</v>
      </c>
      <c r="E76" s="214">
        <f>SUM(E77:E79)</f>
        <v>3700</v>
      </c>
      <c r="F76" s="122"/>
      <c r="G76" s="5"/>
      <c r="H76" s="5"/>
      <c r="I76" s="214">
        <f>SUM(I77:I79)</f>
        <v>1200</v>
      </c>
      <c r="M76" s="214">
        <f>SUM(M77:M79)</f>
        <v>1200</v>
      </c>
      <c r="Q76" s="214">
        <f>SUM(Q77:Q79)</f>
        <v>0</v>
      </c>
      <c r="U76" s="214">
        <f>SUM(U77:U79)</f>
        <v>0</v>
      </c>
    </row>
    <row r="77" spans="1:21" s="287" customFormat="1" x14ac:dyDescent="0.35">
      <c r="A77" s="270" t="s">
        <v>295</v>
      </c>
      <c r="B77" s="288"/>
      <c r="C77" s="289"/>
      <c r="D77" s="289"/>
      <c r="E77" s="268">
        <v>2500</v>
      </c>
      <c r="F77" s="288"/>
      <c r="G77" s="289"/>
      <c r="H77" s="289"/>
      <c r="I77" s="268"/>
      <c r="J77" s="290"/>
      <c r="M77" s="270"/>
      <c r="N77" s="290"/>
      <c r="Q77" s="270"/>
      <c r="R77" s="290"/>
      <c r="U77" s="270"/>
    </row>
    <row r="78" spans="1:21" s="287" customFormat="1" x14ac:dyDescent="0.35">
      <c r="A78" s="104" t="s">
        <v>296</v>
      </c>
      <c r="B78" s="288"/>
      <c r="C78" s="289"/>
      <c r="D78" s="289"/>
      <c r="E78" s="268"/>
      <c r="F78" s="288"/>
      <c r="G78" s="289"/>
      <c r="H78" s="289"/>
      <c r="I78" s="268"/>
      <c r="J78" s="290"/>
      <c r="M78" s="270"/>
      <c r="N78" s="290"/>
      <c r="Q78" s="270"/>
      <c r="R78" s="290"/>
      <c r="U78" s="270"/>
    </row>
    <row r="79" spans="1:21" s="287" customFormat="1" x14ac:dyDescent="0.35">
      <c r="A79" s="270" t="s">
        <v>297</v>
      </c>
      <c r="B79" s="288"/>
      <c r="C79" s="289"/>
      <c r="D79" s="289"/>
      <c r="E79" s="268">
        <v>1200</v>
      </c>
      <c r="F79" s="288"/>
      <c r="G79" s="289"/>
      <c r="H79" s="289"/>
      <c r="I79" s="268">
        <v>1200</v>
      </c>
      <c r="J79" s="290"/>
      <c r="M79" s="270">
        <v>1200</v>
      </c>
      <c r="N79" s="290"/>
      <c r="Q79" s="270"/>
      <c r="R79" s="290"/>
      <c r="U79" s="270"/>
    </row>
    <row r="80" spans="1:21" x14ac:dyDescent="0.35">
      <c r="A80" s="140"/>
      <c r="F80" s="122"/>
      <c r="G80" s="5"/>
      <c r="H80" s="5"/>
      <c r="I80" s="178"/>
    </row>
    <row r="81" spans="1:21" x14ac:dyDescent="0.35">
      <c r="A81" s="140"/>
      <c r="F81" s="122"/>
      <c r="G81" s="5"/>
      <c r="H81" s="5"/>
      <c r="I81" s="178"/>
    </row>
    <row r="82" spans="1:21" x14ac:dyDescent="0.35">
      <c r="A82" s="277" t="s">
        <v>298</v>
      </c>
      <c r="E82" s="214">
        <f>+E83+E92+E96+E99+E88</f>
        <v>45900</v>
      </c>
      <c r="F82" s="122"/>
      <c r="G82" s="5"/>
      <c r="H82" s="5"/>
      <c r="I82" s="214">
        <f>+I83+I92+I96+I99+I88</f>
        <v>36600</v>
      </c>
      <c r="M82" s="214">
        <f>+M83+M92+M96+M99+M88</f>
        <v>31900</v>
      </c>
      <c r="Q82" s="214">
        <f>+Q83+Q92+Q96+Q99</f>
        <v>0</v>
      </c>
      <c r="U82" s="214">
        <f>+U83+U92+U96+U99</f>
        <v>0</v>
      </c>
    </row>
    <row r="83" spans="1:21" x14ac:dyDescent="0.35">
      <c r="A83" s="270" t="s">
        <v>299</v>
      </c>
      <c r="B83" s="122" t="s">
        <v>300</v>
      </c>
      <c r="C83" s="5" t="s">
        <v>301</v>
      </c>
      <c r="D83" s="5" t="s">
        <v>264</v>
      </c>
      <c r="E83" s="268">
        <f>SUM(E84:E86)-14</f>
        <v>26200</v>
      </c>
      <c r="F83" s="122" t="s">
        <v>300</v>
      </c>
      <c r="G83" s="5" t="s">
        <v>301</v>
      </c>
      <c r="H83" s="5" t="s">
        <v>264</v>
      </c>
      <c r="I83" s="268">
        <f>SUM(I84:I86)-32</f>
        <v>16900</v>
      </c>
      <c r="J83" s="122" t="s">
        <v>300</v>
      </c>
      <c r="K83" s="5" t="s">
        <v>301</v>
      </c>
      <c r="L83" s="5" t="s">
        <v>264</v>
      </c>
      <c r="M83" s="268">
        <f>SUM(M84:M86)</f>
        <v>12200</v>
      </c>
      <c r="Q83" s="268">
        <f>SUM(Q84:Q86)</f>
        <v>0</v>
      </c>
      <c r="U83" s="268">
        <f>SUM(U84:U86)</f>
        <v>0</v>
      </c>
    </row>
    <row r="84" spans="1:21" x14ac:dyDescent="0.35">
      <c r="A84" t="s">
        <v>302</v>
      </c>
      <c r="B84" s="122">
        <v>14</v>
      </c>
      <c r="C84" s="5">
        <v>10.5</v>
      </c>
      <c r="D84" s="5">
        <v>170</v>
      </c>
      <c r="E84" s="178">
        <f>+B84*C84*D84</f>
        <v>24990</v>
      </c>
      <c r="F84" s="122">
        <v>12</v>
      </c>
      <c r="G84" s="5">
        <v>8</v>
      </c>
      <c r="H84" s="5">
        <v>170</v>
      </c>
      <c r="I84" s="178">
        <f>+F84*G84*H84</f>
        <v>16320</v>
      </c>
      <c r="J84" s="122">
        <v>12</v>
      </c>
      <c r="K84" s="5">
        <v>6</v>
      </c>
      <c r="L84" s="5">
        <v>170</v>
      </c>
      <c r="M84" s="178">
        <f>+J84*K84*L84-40</f>
        <v>12200</v>
      </c>
    </row>
    <row r="85" spans="1:21" x14ac:dyDescent="0.35">
      <c r="A85" t="s">
        <v>303</v>
      </c>
      <c r="B85" s="122" t="s">
        <v>300</v>
      </c>
      <c r="C85" s="5" t="s">
        <v>304</v>
      </c>
      <c r="D85" s="5" t="s">
        <v>264</v>
      </c>
      <c r="F85" s="122" t="s">
        <v>300</v>
      </c>
      <c r="G85" s="5" t="s">
        <v>304</v>
      </c>
      <c r="H85" s="5" t="s">
        <v>264</v>
      </c>
      <c r="I85" s="178"/>
      <c r="J85" s="122" t="s">
        <v>300</v>
      </c>
      <c r="K85" s="5" t="s">
        <v>304</v>
      </c>
      <c r="L85" s="5" t="s">
        <v>264</v>
      </c>
      <c r="M85" s="178"/>
    </row>
    <row r="86" spans="1:21" x14ac:dyDescent="0.35">
      <c r="A86" t="s">
        <v>305</v>
      </c>
      <c r="B86" s="122">
        <v>12</v>
      </c>
      <c r="C86" s="5">
        <v>200</v>
      </c>
      <c r="D86" s="5">
        <v>0.51</v>
      </c>
      <c r="E86" s="178">
        <f>+B86*C86*D86</f>
        <v>1224</v>
      </c>
      <c r="F86" s="122">
        <v>6</v>
      </c>
      <c r="G86" s="5">
        <v>200</v>
      </c>
      <c r="H86" s="5">
        <v>0.51</v>
      </c>
      <c r="I86" s="178">
        <f>+F86*G86*H86</f>
        <v>612</v>
      </c>
      <c r="J86" s="122">
        <v>0</v>
      </c>
      <c r="K86" s="5">
        <v>0</v>
      </c>
      <c r="L86" s="5">
        <v>0</v>
      </c>
      <c r="M86" s="178">
        <f>+J86*K86*L86</f>
        <v>0</v>
      </c>
    </row>
    <row r="87" spans="1:21" x14ac:dyDescent="0.35">
      <c r="F87" s="122"/>
      <c r="G87" s="5"/>
      <c r="H87" s="5"/>
      <c r="I87" s="178"/>
      <c r="J87" s="122"/>
      <c r="K87" s="5"/>
      <c r="L87" s="5"/>
      <c r="M87" s="178"/>
    </row>
    <row r="88" spans="1:21" s="104" customFormat="1" x14ac:dyDescent="0.35">
      <c r="A88" s="271" t="s">
        <v>306</v>
      </c>
      <c r="B88" s="272" t="s">
        <v>262</v>
      </c>
      <c r="C88" s="273" t="s">
        <v>263</v>
      </c>
      <c r="D88" s="273" t="s">
        <v>264</v>
      </c>
      <c r="E88" s="280">
        <f>SUM(E89:E90)</f>
        <v>2500</v>
      </c>
      <c r="F88" s="272" t="s">
        <v>262</v>
      </c>
      <c r="G88" s="273" t="s">
        <v>263</v>
      </c>
      <c r="H88" s="273" t="s">
        <v>264</v>
      </c>
      <c r="I88" s="280">
        <f>SUM(I89:I90)</f>
        <v>2500</v>
      </c>
      <c r="J88" s="272" t="s">
        <v>262</v>
      </c>
      <c r="K88" s="273" t="s">
        <v>263</v>
      </c>
      <c r="L88" s="273" t="s">
        <v>264</v>
      </c>
      <c r="M88" s="280">
        <f>SUM(M89:M90)</f>
        <v>2500</v>
      </c>
      <c r="N88" s="272" t="s">
        <v>262</v>
      </c>
      <c r="O88" s="273" t="s">
        <v>263</v>
      </c>
      <c r="P88" s="273" t="s">
        <v>264</v>
      </c>
      <c r="Q88" s="280">
        <f>SUM(Q89:Q90)</f>
        <v>0</v>
      </c>
      <c r="R88" s="272" t="s">
        <v>262</v>
      </c>
      <c r="S88" s="273" t="s">
        <v>263</v>
      </c>
      <c r="T88" s="273" t="s">
        <v>264</v>
      </c>
      <c r="U88" s="280">
        <f>SUM(U89:U90)</f>
        <v>0</v>
      </c>
    </row>
    <row r="89" spans="1:21" x14ac:dyDescent="0.35">
      <c r="A89" s="46" t="s">
        <v>307</v>
      </c>
      <c r="B89" s="122">
        <v>4</v>
      </c>
      <c r="C89" s="5">
        <v>5</v>
      </c>
      <c r="D89" s="5">
        <v>75</v>
      </c>
      <c r="E89" s="178">
        <f>+B89*C89*D89</f>
        <v>1500</v>
      </c>
      <c r="F89" s="122">
        <v>4</v>
      </c>
      <c r="G89" s="5">
        <v>5</v>
      </c>
      <c r="H89" s="5">
        <v>75</v>
      </c>
      <c r="I89" s="178">
        <f>+F89*G89*H89</f>
        <v>1500</v>
      </c>
      <c r="J89" s="122">
        <v>4</v>
      </c>
      <c r="K89" s="5">
        <v>5</v>
      </c>
      <c r="L89" s="5">
        <v>75</v>
      </c>
      <c r="M89" s="178">
        <f>+J89*K89*L89</f>
        <v>1500</v>
      </c>
      <c r="N89" s="122"/>
      <c r="O89" s="5"/>
      <c r="P89" s="5"/>
      <c r="Q89" s="178">
        <f>+N89*O89*P89</f>
        <v>0</v>
      </c>
      <c r="R89" s="122"/>
      <c r="S89" s="5"/>
      <c r="T89" s="5"/>
      <c r="U89" s="178">
        <f>+R89*S89*T89</f>
        <v>0</v>
      </c>
    </row>
    <row r="90" spans="1:21" x14ac:dyDescent="0.35">
      <c r="A90" s="46" t="s">
        <v>270</v>
      </c>
      <c r="B90" s="122">
        <v>4</v>
      </c>
      <c r="D90" s="5">
        <v>250</v>
      </c>
      <c r="E90" s="178">
        <f>+B90*D90</f>
        <v>1000</v>
      </c>
      <c r="F90" s="122">
        <v>4</v>
      </c>
      <c r="G90" s="5"/>
      <c r="H90" s="5">
        <v>250</v>
      </c>
      <c r="I90" s="178">
        <f>+F90*H90</f>
        <v>1000</v>
      </c>
      <c r="J90" s="122">
        <v>4</v>
      </c>
      <c r="K90" s="5"/>
      <c r="L90" s="5">
        <v>250</v>
      </c>
      <c r="M90" s="178">
        <f>+J90*L90</f>
        <v>1000</v>
      </c>
      <c r="N90" s="122"/>
      <c r="O90" s="5"/>
      <c r="P90" s="5"/>
      <c r="Q90" s="178">
        <f>+N90*P90</f>
        <v>0</v>
      </c>
      <c r="R90" s="122"/>
      <c r="S90" s="5"/>
      <c r="T90" s="5"/>
      <c r="U90" s="178">
        <f>+R90*T90</f>
        <v>0</v>
      </c>
    </row>
    <row r="91" spans="1:21" x14ac:dyDescent="0.35">
      <c r="F91" s="122"/>
      <c r="G91" s="5"/>
      <c r="H91" s="5"/>
      <c r="I91" s="178"/>
      <c r="J91" s="122"/>
      <c r="K91" s="5"/>
      <c r="L91" s="5"/>
      <c r="M91" s="178"/>
    </row>
    <row r="92" spans="1:21" s="364" customFormat="1" x14ac:dyDescent="0.35">
      <c r="A92" s="360" t="s">
        <v>308</v>
      </c>
      <c r="B92" s="361" t="s">
        <v>309</v>
      </c>
      <c r="C92" s="362" t="s">
        <v>301</v>
      </c>
      <c r="D92" s="362" t="s">
        <v>264</v>
      </c>
      <c r="E92" s="363">
        <f>SUM(E93:E95)</f>
        <v>11200</v>
      </c>
      <c r="F92" s="361" t="s">
        <v>309</v>
      </c>
      <c r="G92" s="362" t="s">
        <v>301</v>
      </c>
      <c r="H92" s="362" t="s">
        <v>264</v>
      </c>
      <c r="I92" s="363">
        <f>SUM(I93:I95)</f>
        <v>11200</v>
      </c>
      <c r="J92" s="361" t="s">
        <v>309</v>
      </c>
      <c r="K92" s="362" t="s">
        <v>301</v>
      </c>
      <c r="L92" s="362" t="s">
        <v>264</v>
      </c>
      <c r="M92" s="363">
        <f>SUM(M93:M95)</f>
        <v>11200</v>
      </c>
      <c r="N92" s="361" t="s">
        <v>309</v>
      </c>
      <c r="O92" s="362" t="s">
        <v>301</v>
      </c>
      <c r="P92" s="362" t="s">
        <v>264</v>
      </c>
      <c r="Q92" s="363">
        <f>SUM(Q93:Q95)</f>
        <v>0</v>
      </c>
      <c r="R92" s="361" t="s">
        <v>309</v>
      </c>
      <c r="S92" s="362" t="s">
        <v>301</v>
      </c>
      <c r="T92" s="362" t="s">
        <v>264</v>
      </c>
      <c r="U92" s="363">
        <f>SUM(U93:U95)</f>
        <v>0</v>
      </c>
    </row>
    <row r="93" spans="1:21" s="364" customFormat="1" x14ac:dyDescent="0.35">
      <c r="A93" s="365" t="s">
        <v>310</v>
      </c>
      <c r="B93" s="361">
        <v>40</v>
      </c>
      <c r="C93" s="362">
        <v>4</v>
      </c>
      <c r="D93" s="362">
        <v>35</v>
      </c>
      <c r="E93" s="366">
        <f>+B93*C93*D93</f>
        <v>5600</v>
      </c>
      <c r="F93" s="361">
        <v>40</v>
      </c>
      <c r="G93" s="362">
        <v>4</v>
      </c>
      <c r="H93" s="362">
        <v>35</v>
      </c>
      <c r="I93" s="366">
        <f>+F93*G93*H93</f>
        <v>5600</v>
      </c>
      <c r="J93" s="361">
        <v>40</v>
      </c>
      <c r="K93" s="362">
        <v>4</v>
      </c>
      <c r="L93" s="362">
        <v>35</v>
      </c>
      <c r="M93" s="366">
        <f>+J93*K93*L93</f>
        <v>5600</v>
      </c>
      <c r="N93" s="361"/>
      <c r="O93" s="362"/>
      <c r="P93" s="362"/>
      <c r="Q93" s="366">
        <f>+N93*O93*P93</f>
        <v>0</v>
      </c>
      <c r="R93" s="361"/>
      <c r="S93" s="362"/>
      <c r="T93" s="362"/>
      <c r="U93" s="366">
        <f>+R93*S93*T93</f>
        <v>0</v>
      </c>
    </row>
    <row r="94" spans="1:21" s="364" customFormat="1" x14ac:dyDescent="0.35">
      <c r="A94" s="365" t="s">
        <v>311</v>
      </c>
      <c r="B94" s="361">
        <v>40</v>
      </c>
      <c r="C94" s="362">
        <v>4</v>
      </c>
      <c r="D94" s="362">
        <v>35</v>
      </c>
      <c r="E94" s="366">
        <f>+B94*C94*D94</f>
        <v>5600</v>
      </c>
      <c r="F94" s="361">
        <v>40</v>
      </c>
      <c r="G94" s="362">
        <v>4</v>
      </c>
      <c r="H94" s="362">
        <v>35</v>
      </c>
      <c r="I94" s="366">
        <f>+F94*G94*H94</f>
        <v>5600</v>
      </c>
      <c r="J94" s="361">
        <v>40</v>
      </c>
      <c r="K94" s="362">
        <v>4</v>
      </c>
      <c r="L94" s="362">
        <v>35</v>
      </c>
      <c r="M94" s="366">
        <f>+J94*K94*L94</f>
        <v>5600</v>
      </c>
      <c r="N94" s="361"/>
      <c r="O94" s="362"/>
      <c r="P94" s="362"/>
      <c r="Q94" s="366">
        <f>+N94*O94*P94</f>
        <v>0</v>
      </c>
      <c r="R94" s="361"/>
      <c r="S94" s="362"/>
      <c r="T94" s="362"/>
      <c r="U94" s="366">
        <f>+R94*S94*T94</f>
        <v>0</v>
      </c>
    </row>
    <row r="95" spans="1:21" s="46" customFormat="1" x14ac:dyDescent="0.35">
      <c r="A95" s="116"/>
      <c r="B95" s="222"/>
      <c r="F95" s="222"/>
      <c r="G95" s="47"/>
      <c r="H95" s="47"/>
      <c r="I95" s="147"/>
      <c r="J95" s="222"/>
      <c r="K95" s="47"/>
      <c r="L95" s="47"/>
      <c r="M95" s="147"/>
      <c r="N95" s="224"/>
      <c r="Q95" s="116"/>
      <c r="R95" s="224"/>
      <c r="U95" s="116"/>
    </row>
    <row r="96" spans="1:21" s="46" customFormat="1" x14ac:dyDescent="0.35">
      <c r="A96" s="271" t="s">
        <v>312</v>
      </c>
      <c r="B96" s="222"/>
      <c r="C96" s="47" t="s">
        <v>301</v>
      </c>
      <c r="D96" s="47" t="s">
        <v>264</v>
      </c>
      <c r="E96" s="269">
        <f>SUM(E97:E98)</f>
        <v>2000</v>
      </c>
      <c r="F96" s="222"/>
      <c r="G96" s="47" t="s">
        <v>301</v>
      </c>
      <c r="H96" s="47" t="s">
        <v>264</v>
      </c>
      <c r="I96" s="269">
        <f>SUM(I97:I98)</f>
        <v>2000</v>
      </c>
      <c r="J96" s="222"/>
      <c r="K96" s="47" t="s">
        <v>301</v>
      </c>
      <c r="L96" s="47" t="s">
        <v>264</v>
      </c>
      <c r="M96" s="269">
        <f>SUM(M97:M98)</f>
        <v>2000</v>
      </c>
      <c r="N96" s="224"/>
      <c r="Q96" s="269">
        <f>SUM(Q97:Q98)</f>
        <v>0</v>
      </c>
      <c r="R96" s="224"/>
      <c r="U96" s="269">
        <f>SUM(U97:U98)</f>
        <v>0</v>
      </c>
    </row>
    <row r="97" spans="1:21" s="46" customFormat="1" x14ac:dyDescent="0.35">
      <c r="A97" s="46" t="s">
        <v>313</v>
      </c>
      <c r="B97" s="222"/>
      <c r="C97" s="47">
        <v>20</v>
      </c>
      <c r="D97" s="47">
        <v>100</v>
      </c>
      <c r="E97" s="223">
        <f>+C97*D97</f>
        <v>2000</v>
      </c>
      <c r="F97" s="222"/>
      <c r="G97" s="47">
        <v>20</v>
      </c>
      <c r="H97" s="47">
        <v>100</v>
      </c>
      <c r="I97" s="223">
        <f>+G97*H97</f>
        <v>2000</v>
      </c>
      <c r="J97" s="224"/>
      <c r="K97" s="46">
        <v>20</v>
      </c>
      <c r="L97" s="46">
        <v>100</v>
      </c>
      <c r="M97" s="223">
        <f>+K97*L97</f>
        <v>2000</v>
      </c>
      <c r="N97" s="224"/>
      <c r="Q97" s="116"/>
      <c r="R97" s="224"/>
      <c r="U97" s="116"/>
    </row>
    <row r="98" spans="1:21" x14ac:dyDescent="0.35">
      <c r="F98" s="122"/>
      <c r="G98" s="5"/>
      <c r="H98" s="5"/>
      <c r="I98" s="178"/>
      <c r="M98" s="178"/>
    </row>
    <row r="99" spans="1:21" x14ac:dyDescent="0.35">
      <c r="A99" s="271" t="s">
        <v>314</v>
      </c>
      <c r="B99" s="222"/>
      <c r="C99" s="47" t="s">
        <v>301</v>
      </c>
      <c r="D99" s="47" t="s">
        <v>264</v>
      </c>
      <c r="E99" s="269">
        <f>SUM(E100:E101)</f>
        <v>4000</v>
      </c>
      <c r="F99" s="222"/>
      <c r="G99" s="47" t="s">
        <v>301</v>
      </c>
      <c r="H99" s="47" t="s">
        <v>264</v>
      </c>
      <c r="I99" s="269">
        <f>SUM(I100:I101)</f>
        <v>4000</v>
      </c>
      <c r="J99" s="222"/>
      <c r="K99" s="47" t="s">
        <v>301</v>
      </c>
      <c r="L99" s="47" t="s">
        <v>264</v>
      </c>
      <c r="M99" s="269">
        <f>SUM(M100:M101)</f>
        <v>4000</v>
      </c>
      <c r="N99" s="222"/>
      <c r="O99" s="47" t="s">
        <v>301</v>
      </c>
      <c r="P99" s="47" t="s">
        <v>264</v>
      </c>
      <c r="Q99" s="269">
        <f>SUM(Q100:Q101)</f>
        <v>0</v>
      </c>
      <c r="R99" s="222"/>
      <c r="S99" s="47" t="s">
        <v>301</v>
      </c>
      <c r="T99" s="47" t="s">
        <v>264</v>
      </c>
      <c r="U99" s="269">
        <f>SUM(U100:U101)</f>
        <v>0</v>
      </c>
    </row>
    <row r="100" spans="1:21" x14ac:dyDescent="0.35">
      <c r="A100" s="46" t="s">
        <v>315</v>
      </c>
      <c r="B100" s="222"/>
      <c r="C100" s="47">
        <v>40</v>
      </c>
      <c r="D100" s="47">
        <v>100</v>
      </c>
      <c r="E100" s="223">
        <f>+C100*D100</f>
        <v>4000</v>
      </c>
      <c r="F100" s="222"/>
      <c r="G100" s="47">
        <v>40</v>
      </c>
      <c r="H100" s="47">
        <v>100</v>
      </c>
      <c r="I100" s="223">
        <f>+G100*H100</f>
        <v>4000</v>
      </c>
      <c r="J100" s="222"/>
      <c r="K100" s="47">
        <v>40</v>
      </c>
      <c r="L100" s="47">
        <v>100</v>
      </c>
      <c r="M100" s="223">
        <f>+K100*L100</f>
        <v>4000</v>
      </c>
      <c r="N100" s="222"/>
      <c r="O100" s="47"/>
      <c r="P100" s="47"/>
      <c r="Q100" s="223">
        <f>+O100*P100</f>
        <v>0</v>
      </c>
      <c r="R100" s="222"/>
      <c r="S100" s="47"/>
      <c r="T100" s="47"/>
      <c r="U100" s="223">
        <f>+S100*T100</f>
        <v>0</v>
      </c>
    </row>
    <row r="101" spans="1:21" x14ac:dyDescent="0.35">
      <c r="F101" s="122"/>
      <c r="G101" s="5"/>
      <c r="H101" s="5"/>
      <c r="I101" s="178"/>
      <c r="M101" s="178"/>
    </row>
    <row r="102" spans="1:21" x14ac:dyDescent="0.35">
      <c r="A102" s="116" t="s">
        <v>316</v>
      </c>
      <c r="F102" s="122"/>
      <c r="G102" s="5"/>
      <c r="H102" s="5"/>
      <c r="I102" s="178"/>
      <c r="M102" s="178"/>
    </row>
    <row r="103" spans="1:21" x14ac:dyDescent="0.35">
      <c r="A103" s="277" t="s">
        <v>92</v>
      </c>
      <c r="B103" s="122" t="s">
        <v>317</v>
      </c>
      <c r="C103" s="5" t="s">
        <v>230</v>
      </c>
      <c r="E103" s="214">
        <f>SUM(E104:E110)</f>
        <v>11200</v>
      </c>
      <c r="F103" s="122" t="s">
        <v>317</v>
      </c>
      <c r="G103" s="5" t="s">
        <v>230</v>
      </c>
      <c r="I103" s="214">
        <f>SUM(I104:I110)</f>
        <v>1500</v>
      </c>
      <c r="J103" s="122" t="s">
        <v>317</v>
      </c>
      <c r="K103" s="5" t="s">
        <v>230</v>
      </c>
      <c r="M103" s="214">
        <f>SUM(M104:M110)</f>
        <v>1500</v>
      </c>
      <c r="N103" s="122" t="s">
        <v>317</v>
      </c>
      <c r="O103" s="5" t="s">
        <v>230</v>
      </c>
      <c r="Q103" s="214">
        <f>SUM(Q104:Q110)</f>
        <v>700</v>
      </c>
      <c r="R103" s="122" t="s">
        <v>317</v>
      </c>
      <c r="S103" s="5" t="s">
        <v>230</v>
      </c>
      <c r="U103" s="214">
        <f>SUM(U104:U110)</f>
        <v>700</v>
      </c>
    </row>
    <row r="104" spans="1:21" s="46" customFormat="1" x14ac:dyDescent="0.35">
      <c r="A104" s="46" t="s">
        <v>318</v>
      </c>
      <c r="B104" s="222">
        <v>1</v>
      </c>
      <c r="C104" s="47">
        <f>200+150</f>
        <v>350</v>
      </c>
      <c r="D104" s="47"/>
      <c r="E104" s="223">
        <f>+B104*C104</f>
        <v>350</v>
      </c>
      <c r="F104" s="222"/>
      <c r="G104" s="47"/>
      <c r="I104" s="223">
        <f>+F104*G104</f>
        <v>0</v>
      </c>
      <c r="J104" s="222"/>
      <c r="K104" s="47"/>
      <c r="M104" s="223">
        <f>+J104*K104</f>
        <v>0</v>
      </c>
      <c r="N104" s="222"/>
      <c r="O104" s="47"/>
      <c r="Q104" s="223">
        <f>+N104*O104</f>
        <v>0</v>
      </c>
      <c r="R104" s="222"/>
      <c r="S104" s="47"/>
      <c r="U104" s="223">
        <f>+R104*S104</f>
        <v>0</v>
      </c>
    </row>
    <row r="105" spans="1:21" s="46" customFormat="1" x14ac:dyDescent="0.35">
      <c r="A105" s="46" t="s">
        <v>319</v>
      </c>
      <c r="B105" s="222">
        <v>6</v>
      </c>
      <c r="C105" s="47">
        <v>250</v>
      </c>
      <c r="D105" s="47"/>
      <c r="E105" s="223">
        <f>+B105*C105</f>
        <v>1500</v>
      </c>
      <c r="F105" s="222"/>
      <c r="G105" s="47"/>
      <c r="H105" s="47"/>
      <c r="I105" s="223">
        <f>+F105*G105</f>
        <v>0</v>
      </c>
      <c r="J105" s="222"/>
      <c r="K105" s="47"/>
      <c r="L105" s="47"/>
      <c r="M105" s="223">
        <f>+J105*K105</f>
        <v>0</v>
      </c>
      <c r="N105" s="222"/>
      <c r="O105" s="47"/>
      <c r="Q105" s="223">
        <f>+N105*O105</f>
        <v>0</v>
      </c>
      <c r="R105" s="222"/>
      <c r="S105" s="47"/>
      <c r="U105" s="223">
        <f>+R105*S105</f>
        <v>0</v>
      </c>
    </row>
    <row r="106" spans="1:21" x14ac:dyDescent="0.35">
      <c r="A106" s="46" t="s">
        <v>320</v>
      </c>
      <c r="B106" s="222">
        <v>6</v>
      </c>
      <c r="C106" s="47">
        <v>200</v>
      </c>
      <c r="D106" s="47"/>
      <c r="E106" s="223">
        <f>+B106*C106</f>
        <v>1200</v>
      </c>
      <c r="F106" s="122"/>
      <c r="G106" s="5"/>
      <c r="H106" s="5"/>
      <c r="I106" s="178">
        <f>+F106*G106</f>
        <v>0</v>
      </c>
      <c r="J106" s="122"/>
      <c r="K106" s="5"/>
      <c r="L106" s="5"/>
      <c r="M106" s="178">
        <f>+J106*K106</f>
        <v>0</v>
      </c>
      <c r="N106" s="122"/>
      <c r="O106" s="5"/>
      <c r="Q106" s="178">
        <f>+N106*O106</f>
        <v>0</v>
      </c>
      <c r="R106" s="122"/>
      <c r="S106" s="5"/>
      <c r="U106" s="178">
        <f>+R106*S106</f>
        <v>0</v>
      </c>
    </row>
    <row r="107" spans="1:21" x14ac:dyDescent="0.35">
      <c r="A107" t="s">
        <v>321</v>
      </c>
      <c r="B107" s="122">
        <v>6</v>
      </c>
      <c r="C107" s="5">
        <v>725</v>
      </c>
      <c r="E107" s="178">
        <f>+B107*C107-50</f>
        <v>4300</v>
      </c>
      <c r="F107" s="122"/>
      <c r="G107" s="5"/>
      <c r="H107" s="5"/>
      <c r="I107" s="178">
        <v>750</v>
      </c>
      <c r="J107" s="122"/>
      <c r="K107" s="5"/>
      <c r="L107" s="5"/>
      <c r="M107" s="178">
        <v>750</v>
      </c>
      <c r="N107" s="122"/>
      <c r="O107" s="5"/>
      <c r="Q107" s="178"/>
      <c r="R107" s="122"/>
      <c r="S107" s="5"/>
      <c r="U107" s="178"/>
    </row>
    <row r="108" spans="1:21" s="46" customFormat="1" x14ac:dyDescent="0.35">
      <c r="A108" s="46" t="s">
        <v>322</v>
      </c>
      <c r="B108" s="222">
        <v>1</v>
      </c>
      <c r="C108" s="47">
        <v>3250</v>
      </c>
      <c r="D108" s="47"/>
      <c r="E108" s="223">
        <f>+B108*C108</f>
        <v>3250</v>
      </c>
      <c r="F108" s="222"/>
      <c r="G108" s="47"/>
      <c r="H108" s="281" t="s">
        <v>323</v>
      </c>
      <c r="I108" s="223">
        <v>750</v>
      </c>
      <c r="J108" s="222"/>
      <c r="K108" s="47"/>
      <c r="L108" s="47"/>
      <c r="M108" s="223">
        <v>750</v>
      </c>
      <c r="N108" s="396"/>
      <c r="O108" s="47"/>
      <c r="Q108" s="223">
        <v>700</v>
      </c>
      <c r="R108" s="396"/>
      <c r="S108" s="47"/>
      <c r="U108" s="223">
        <v>700</v>
      </c>
    </row>
    <row r="109" spans="1:21" x14ac:dyDescent="0.35">
      <c r="A109" t="s">
        <v>324</v>
      </c>
      <c r="B109" s="122">
        <v>6</v>
      </c>
      <c r="C109" s="5">
        <v>100</v>
      </c>
      <c r="E109" s="178">
        <f>+B109*C109</f>
        <v>600</v>
      </c>
      <c r="F109" s="122"/>
      <c r="G109" s="5"/>
      <c r="H109" s="5"/>
      <c r="I109" s="178"/>
      <c r="J109" s="122"/>
      <c r="K109" s="5"/>
      <c r="L109" s="5"/>
      <c r="M109" s="178"/>
      <c r="Q109" s="178"/>
      <c r="U109" s="178"/>
    </row>
    <row r="110" spans="1:21" s="46" customFormat="1" x14ac:dyDescent="0.35">
      <c r="A110" s="46" t="s">
        <v>325</v>
      </c>
      <c r="B110" s="222"/>
      <c r="C110" s="47"/>
      <c r="D110" s="47"/>
      <c r="E110" s="223"/>
      <c r="F110" s="222"/>
      <c r="G110" s="47"/>
      <c r="H110" s="47"/>
      <c r="I110" s="223"/>
      <c r="J110" s="222"/>
      <c r="K110" s="47"/>
      <c r="L110" s="47"/>
      <c r="M110" s="223"/>
      <c r="N110" s="224"/>
      <c r="Q110" s="223"/>
      <c r="R110" s="224"/>
      <c r="U110" s="223"/>
    </row>
  </sheetData>
  <mergeCells count="5">
    <mergeCell ref="B2:E2"/>
    <mergeCell ref="F2:I2"/>
    <mergeCell ref="J2:M2"/>
    <mergeCell ref="N2:Q2"/>
    <mergeCell ref="R2:U2"/>
  </mergeCells>
  <printOptions gridLines="1"/>
  <pageMargins left="0.17" right="0.17" top="0.33" bottom="0.23" header="0.3" footer="0.21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c84493-f6d4-4d80-91d6-313e2f841971" xsi:nil="true"/>
    <lcf76f155ced4ddcb4097134ff3c332f xmlns="248e5353-e643-41ae-92df-508dad6c6e11">
      <Terms xmlns="http://schemas.microsoft.com/office/infopath/2007/PartnerControls"/>
    </lcf76f155ced4ddcb4097134ff3c332f>
    <SharedWithUsers xmlns="b0c84493-f6d4-4d80-91d6-313e2f841971">
      <UserInfo>
        <DisplayName>Santrice Martin</DisplayName>
        <AccountId>48</AccountId>
        <AccountType/>
      </UserInfo>
      <UserInfo>
        <DisplayName>Christine Brambila</DisplayName>
        <AccountId>55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FE5113F8219D43BB4E9BB9F99CACC7" ma:contentTypeVersion="18" ma:contentTypeDescription="Create a new document." ma:contentTypeScope="" ma:versionID="6acf77b911bfb996bf80b368ec151582">
  <xsd:schema xmlns:xsd="http://www.w3.org/2001/XMLSchema" xmlns:xs="http://www.w3.org/2001/XMLSchema" xmlns:p="http://schemas.microsoft.com/office/2006/metadata/properties" xmlns:ns2="248e5353-e643-41ae-92df-508dad6c6e11" xmlns:ns3="b0c84493-f6d4-4d80-91d6-313e2f841971" targetNamespace="http://schemas.microsoft.com/office/2006/metadata/properties" ma:root="true" ma:fieldsID="a59b14c8dcd03f60f0b347d34fa27bb7" ns2:_="" ns3:_="">
    <xsd:import namespace="248e5353-e643-41ae-92df-508dad6c6e11"/>
    <xsd:import namespace="b0c84493-f6d4-4d80-91d6-313e2f8419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5353-e643-41ae-92df-508dad6c6e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f659614-1dbd-4411-8a8e-0a0ed7cfa9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84493-f6d4-4d80-91d6-313e2f841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1cb9c7-cc25-4bd8-81b2-ccc0d17b70cb}" ma:internalName="TaxCatchAll" ma:showField="CatchAllData" ma:web="b0c84493-f6d4-4d80-91d6-313e2f8419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78147-6F84-49AA-AC4D-BD77802676AF}">
  <ds:schemaRefs>
    <ds:schemaRef ds:uri="http://schemas.microsoft.com/office/2006/metadata/properties"/>
    <ds:schemaRef ds:uri="http://schemas.microsoft.com/office/infopath/2007/PartnerControls"/>
    <ds:schemaRef ds:uri="b0c84493-f6d4-4d80-91d6-313e2f841971"/>
    <ds:schemaRef ds:uri="248e5353-e643-41ae-92df-508dad6c6e11"/>
  </ds:schemaRefs>
</ds:datastoreItem>
</file>

<file path=customXml/itemProps2.xml><?xml version="1.0" encoding="utf-8"?>
<ds:datastoreItem xmlns:ds="http://schemas.openxmlformats.org/officeDocument/2006/customXml" ds:itemID="{F65B5E14-3140-4AF2-A2CB-CFF541179A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FB2911-ABF2-4738-995A-EE6050C66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8e5353-e643-41ae-92df-508dad6c6e11"/>
    <ds:schemaRef ds:uri="b0c84493-f6d4-4d80-91d6-313e2f841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Agency &amp; Staffing Categories</vt:lpstr>
      <vt:lpstr>GRANT TOTAL REQUEST worksheet</vt:lpstr>
      <vt:lpstr>STAFFING WORKSHEET-YR01 16 MON</vt:lpstr>
      <vt:lpstr>STAFFING WORKSHEET-YR02</vt:lpstr>
      <vt:lpstr>STAFFING WORKSHEET-YR03</vt:lpstr>
      <vt:lpstr>STAFFING WORKSHEET-YR04</vt:lpstr>
      <vt:lpstr>STAFFING WORKSHEET-YR05</vt:lpstr>
      <vt:lpstr>ORG LEADERSHIP OTHER EXPENSES</vt:lpstr>
      <vt:lpstr>DIRECT SVCS OTHER EXPENSES</vt:lpstr>
      <vt:lpstr>EVALUATION OTHER EXPENSES</vt:lpstr>
      <vt:lpstr>Implementation Year 1 16 MO</vt:lpstr>
      <vt:lpstr>FRO Planning Grants</vt:lpstr>
      <vt:lpstr>'DIRECT SVCS OTHER EXPENSES'!Print_Area</vt:lpstr>
      <vt:lpstr>'EVALUATION OTHER EXPENSES'!Print_Area</vt:lpstr>
      <vt:lpstr>'GRANT TOTAL REQUEST worksheet'!Print_Area</vt:lpstr>
      <vt:lpstr>'Implementation Year 1 16 MO'!Print_Area</vt:lpstr>
      <vt:lpstr>'ORG LEADERSHIP OTHER EXPENSES'!Print_Area</vt:lpstr>
      <vt:lpstr>'STAFFING WORKSHEET-YR01 16 MON'!Print_Area</vt:lpstr>
      <vt:lpstr>'STAFFING WORKSHEET-YR02'!Print_Area</vt:lpstr>
      <vt:lpstr>'STAFFING WORKSHEET-YR03'!Print_Area</vt:lpstr>
      <vt:lpstr>'STAFFING WORKSHEET-YR04'!Print_Area</vt:lpstr>
      <vt:lpstr>'STAFFING WORKSHEET-YR05'!Print_Area</vt:lpstr>
      <vt:lpstr>'DIRECT SVCS OTHER EXPENSES'!Print_Titles</vt:lpstr>
      <vt:lpstr>'EVALUATION OTHER EXPENSES'!Print_Titles</vt:lpstr>
      <vt:lpstr>'GRANT TOTAL REQUEST worksheet'!Print_Titles</vt:lpstr>
      <vt:lpstr>'Implementation Year 1 16 MO'!Print_Titles</vt:lpstr>
      <vt:lpstr>'ORG LEADERSHIP OTHER EXPENSES'!Print_Titles</vt:lpstr>
      <vt:lpstr>'STAFFING WORKSHEET-YR01 16 MON'!Print_Titles</vt:lpstr>
      <vt:lpstr>'STAFFING WORKSHEET-YR02'!Print_Titles</vt:lpstr>
      <vt:lpstr>'STAFFING WORKSHEET-YR03'!Print_Titles</vt:lpstr>
      <vt:lpstr>'STAFFING WORKSHEET-YR04'!Print_Titles</vt:lpstr>
      <vt:lpstr>'STAFFING WORKSHEET-YR05'!Print_Titles</vt:lpstr>
    </vt:vector>
  </TitlesOfParts>
  <Manager/>
  <Company>SIU School of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cluttrell</dc:creator>
  <cp:keywords/>
  <dc:description/>
  <cp:lastModifiedBy>Santrice Martin</cp:lastModifiedBy>
  <cp:revision/>
  <dcterms:created xsi:type="dcterms:W3CDTF">2011-03-31T19:18:11Z</dcterms:created>
  <dcterms:modified xsi:type="dcterms:W3CDTF">2024-09-05T22:49:13Z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0x01010039FE5113F8219D43BB4E9BB9F99CACC7</vt:lpwstr>
  </property>
  <property fmtid="{D5CDD505-2E9C-101B-9397-08002B2CF9AE}" pid="3" name="MediaServiceImageTags">
    <vt:lpwstr/>
  </property>
</Properties>
</file>